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C:\Users\Paul Kimwele\Desktop\BUDGET 2026-27\"/>
    </mc:Choice>
  </mc:AlternateContent>
  <xr:revisionPtr revIDLastSave="0" documentId="8_{588B8965-BAB3-48AA-8138-9DA99A466B1D}" xr6:coauthVersionLast="47" xr6:coauthVersionMax="47" xr10:uidLastSave="{00000000-0000-0000-0000-000000000000}"/>
  <bookViews>
    <workbookView xWindow="-98" yWindow="-98" windowWidth="21795" windowHeight="12975" xr2:uid="{00000000-000D-0000-FFFF-FFFF00000000}"/>
  </bookViews>
  <sheets>
    <sheet name="Itemized Budget 2026-27" sheetId="91" r:id="rId1"/>
    <sheet name="Sheet1" sheetId="93" r:id="rId2"/>
    <sheet name="Tables" sheetId="3" r:id="rId3"/>
    <sheet name="Programmes" sheetId="4" r:id="rId4"/>
    <sheet name="Summary" sheetId="8" r:id="rId5"/>
    <sheet name="analysis - submitted" sheetId="92" r:id="rId6"/>
    <sheet name="Votes" sheetId="16" r:id="rId7"/>
    <sheet name="Revenue Projections" sheetId="39" r:id="rId8"/>
  </sheets>
  <externalReferences>
    <externalReference r:id="rId9"/>
  </externalReferences>
  <definedNames>
    <definedName name="_xlnm.Print_Area" localSheetId="5">'analysis - submitted'!$A$1:$G$21</definedName>
    <definedName name="_xlnm.Print_Area" localSheetId="0">'Itemized Budget 2026-27'!$A$1:$AF$4777</definedName>
    <definedName name="_xlnm.Print_Area" localSheetId="3">Programmes!$A$1:$E$143</definedName>
    <definedName name="_xlnm.Print_Area" localSheetId="4">Summary!$A$1:$G$21</definedName>
    <definedName name="_xlnm.Print_Titles" localSheetId="0">'Itemized Budget 2026-27'!$2:$2</definedName>
    <definedName name="_xlnm.Print_Titles" localSheetId="3">Programmes!$4:$5</definedName>
    <definedName name="_xlnm.Print_Titles" localSheetId="7">'Revenue Projections'!$4:$5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776" i="92" l="1"/>
  <c r="F770" i="91"/>
  <c r="G770" i="91" s="1"/>
  <c r="E769" i="91"/>
  <c r="F769" i="91" s="1"/>
  <c r="G769" i="91" s="1"/>
  <c r="I781" i="91"/>
  <c r="I780" i="91"/>
  <c r="I782" i="91" s="1"/>
  <c r="I717" i="91"/>
  <c r="E272" i="91"/>
  <c r="E7" i="91" l="1"/>
  <c r="E9" i="91"/>
  <c r="E12" i="91"/>
  <c r="E13" i="91"/>
  <c r="E14" i="91"/>
  <c r="E18" i="91"/>
  <c r="E23" i="91"/>
  <c r="E27" i="91"/>
  <c r="E31" i="91"/>
  <c r="E38" i="91"/>
  <c r="E42" i="91"/>
  <c r="E47" i="91"/>
  <c r="E49" i="91"/>
  <c r="E50" i="91"/>
  <c r="E52" i="91"/>
  <c r="E61" i="91"/>
  <c r="E58" i="91" s="1"/>
  <c r="E62" i="91"/>
  <c r="E66" i="91"/>
  <c r="E65" i="91" s="1"/>
  <c r="E72" i="91"/>
  <c r="E70" i="91" s="1"/>
  <c r="E74" i="91"/>
  <c r="E75" i="91"/>
  <c r="E82" i="91"/>
  <c r="E85" i="91"/>
  <c r="E91" i="91"/>
  <c r="E88" i="91" s="1"/>
  <c r="E92" i="91"/>
  <c r="E94" i="91"/>
  <c r="E101" i="91"/>
  <c r="E107" i="91"/>
  <c r="E104" i="91" s="1"/>
  <c r="E108" i="91"/>
  <c r="E111" i="91"/>
  <c r="E113" i="91"/>
  <c r="E117" i="91"/>
  <c r="E119" i="91"/>
  <c r="E127" i="91"/>
  <c r="E130" i="91"/>
  <c r="E136" i="91"/>
  <c r="E133" i="91" s="1"/>
  <c r="E137" i="91"/>
  <c r="E144" i="91"/>
  <c r="E148" i="91"/>
  <c r="E147" i="91" s="1"/>
  <c r="E151" i="91"/>
  <c r="E153" i="91"/>
  <c r="E156" i="91"/>
  <c r="E158" i="91"/>
  <c r="E166" i="91"/>
  <c r="E169" i="91"/>
  <c r="E172" i="91"/>
  <c r="E176" i="91"/>
  <c r="E178" i="91"/>
  <c r="E185" i="91"/>
  <c r="E188" i="91"/>
  <c r="E192" i="91"/>
  <c r="E194" i="91"/>
  <c r="E197" i="91"/>
  <c r="E201" i="91"/>
  <c r="E199" i="91" s="1"/>
  <c r="E207" i="91"/>
  <c r="E210" i="91"/>
  <c r="E214" i="91"/>
  <c r="E216" i="91"/>
  <c r="E223" i="91"/>
  <c r="E226" i="91"/>
  <c r="E231" i="91"/>
  <c r="E230" i="91" s="1"/>
  <c r="E232" i="91"/>
  <c r="E236" i="91"/>
  <c r="E247" i="91"/>
  <c r="E246" i="91" s="1"/>
  <c r="E251" i="91"/>
  <c r="E252" i="91"/>
  <c r="E254" i="91"/>
  <c r="E255" i="91"/>
  <c r="E256" i="91"/>
  <c r="E257" i="91"/>
  <c r="E266" i="91"/>
  <c r="E261" i="91" s="1"/>
  <c r="E268" i="91"/>
  <c r="E271" i="91"/>
  <c r="E275" i="91"/>
  <c r="E276" i="91"/>
  <c r="E278" i="91"/>
  <c r="E277" i="91" s="1"/>
  <c r="E280" i="91"/>
  <c r="E279" i="91" s="1"/>
  <c r="E282" i="91"/>
  <c r="E281" i="91" s="1"/>
  <c r="E283" i="91"/>
  <c r="E285" i="91"/>
  <c r="E288" i="91"/>
  <c r="E287" i="91" s="1"/>
  <c r="E295" i="91"/>
  <c r="E298" i="91"/>
  <c r="E302" i="91"/>
  <c r="E306" i="91"/>
  <c r="E311" i="91"/>
  <c r="E310" i="91" s="1"/>
  <c r="E312" i="91"/>
  <c r="E316" i="91"/>
  <c r="E318" i="91"/>
  <c r="E320" i="91"/>
  <c r="E322" i="91"/>
  <c r="E327" i="91"/>
  <c r="E324" i="91" s="1"/>
  <c r="J35" i="39"/>
  <c r="K35" i="39"/>
  <c r="E1334" i="91"/>
  <c r="E273" i="91" l="1"/>
  <c r="E122" i="91"/>
  <c r="E123" i="91" s="1"/>
  <c r="E253" i="91"/>
  <c r="E73" i="91"/>
  <c r="E77" i="91" s="1"/>
  <c r="E241" i="91" s="1"/>
  <c r="E333" i="91" s="1"/>
  <c r="E46" i="91"/>
  <c r="E11" i="91"/>
  <c r="E67" i="91" s="1"/>
  <c r="E249" i="91"/>
  <c r="E290" i="91" s="1"/>
  <c r="E291" i="91" s="1"/>
  <c r="E328" i="91"/>
  <c r="E329" i="91" s="1"/>
  <c r="E238" i="91"/>
  <c r="E239" i="91" s="1"/>
  <c r="E202" i="91"/>
  <c r="E203" i="91" s="1"/>
  <c r="E161" i="91"/>
  <c r="E162" i="91" s="1"/>
  <c r="F1880" i="91"/>
  <c r="G1880" i="91" s="1"/>
  <c r="F1879" i="91"/>
  <c r="G1879" i="91" s="1"/>
  <c r="F1878" i="91"/>
  <c r="G1878" i="91" s="1"/>
  <c r="F1877" i="91"/>
  <c r="G1877" i="91" s="1"/>
  <c r="E1876" i="91"/>
  <c r="F1876" i="91" s="1"/>
  <c r="G1876" i="91" s="1"/>
  <c r="F1875" i="91"/>
  <c r="G1875" i="91" s="1"/>
  <c r="E1874" i="91"/>
  <c r="F1873" i="91"/>
  <c r="G1873" i="91" s="1"/>
  <c r="F1872" i="91"/>
  <c r="G1872" i="91" s="1"/>
  <c r="F1871" i="91"/>
  <c r="G1871" i="91" s="1"/>
  <c r="F1869" i="91"/>
  <c r="G1869" i="91" s="1"/>
  <c r="F1868" i="91"/>
  <c r="G1868" i="91" s="1"/>
  <c r="E1867" i="91"/>
  <c r="C667" i="3" s="1"/>
  <c r="F1866" i="91"/>
  <c r="G1866" i="91" s="1"/>
  <c r="F1865" i="91"/>
  <c r="G1865" i="91" s="1"/>
  <c r="E1864" i="91"/>
  <c r="F1864" i="91" s="1"/>
  <c r="G1864" i="91" s="1"/>
  <c r="F1863" i="91"/>
  <c r="G1863" i="91" s="1"/>
  <c r="F1862" i="91"/>
  <c r="G1862" i="91" s="1"/>
  <c r="F1861" i="91"/>
  <c r="G1861" i="91" s="1"/>
  <c r="E1860" i="91"/>
  <c r="F1860" i="91" s="1"/>
  <c r="G1860" i="91" s="1"/>
  <c r="F1859" i="91"/>
  <c r="G1859" i="91" s="1"/>
  <c r="E1858" i="91"/>
  <c r="F1858" i="91" s="1"/>
  <c r="G1858" i="91" s="1"/>
  <c r="F1857" i="91"/>
  <c r="G1857" i="91" s="1"/>
  <c r="F1856" i="91"/>
  <c r="G1856" i="91" s="1"/>
  <c r="E1855" i="91"/>
  <c r="F1855" i="91" s="1"/>
  <c r="G1855" i="91" s="1"/>
  <c r="F1854" i="91"/>
  <c r="G1854" i="91" s="1"/>
  <c r="F1853" i="91"/>
  <c r="G1853" i="91" s="1"/>
  <c r="F1852" i="91"/>
  <c r="G1852" i="91" s="1"/>
  <c r="F1851" i="91"/>
  <c r="G1851" i="91" s="1"/>
  <c r="E1850" i="91"/>
  <c r="F1850" i="91" s="1"/>
  <c r="G1850" i="91" s="1"/>
  <c r="F1849" i="91"/>
  <c r="G1849" i="91" s="1"/>
  <c r="F1848" i="91"/>
  <c r="G1848" i="91" s="1"/>
  <c r="F1847" i="91"/>
  <c r="G1847" i="91" s="1"/>
  <c r="E1846" i="91"/>
  <c r="F1846" i="91" s="1"/>
  <c r="G1846" i="91" s="1"/>
  <c r="F1845" i="91"/>
  <c r="G1845" i="91" s="1"/>
  <c r="F1844" i="91"/>
  <c r="G1844" i="91" s="1"/>
  <c r="F1843" i="91"/>
  <c r="G1843" i="91" s="1"/>
  <c r="E1842" i="91"/>
  <c r="F1842" i="91" s="1"/>
  <c r="G1842" i="91" s="1"/>
  <c r="F1841" i="91"/>
  <c r="G1841" i="91" s="1"/>
  <c r="F1840" i="91"/>
  <c r="G1840" i="91" s="1"/>
  <c r="F1839" i="91"/>
  <c r="G1839" i="91" s="1"/>
  <c r="E1838" i="91"/>
  <c r="F1838" i="91" s="1"/>
  <c r="G1838" i="91" s="1"/>
  <c r="F1837" i="91"/>
  <c r="G1837" i="91" s="1"/>
  <c r="F1836" i="91"/>
  <c r="G1836" i="91" s="1"/>
  <c r="F1835" i="91"/>
  <c r="G1835" i="91" s="1"/>
  <c r="F1834" i="91"/>
  <c r="G1834" i="91" s="1"/>
  <c r="F1831" i="91"/>
  <c r="G1831" i="91" s="1"/>
  <c r="E1830" i="91"/>
  <c r="F1830" i="91" s="1"/>
  <c r="G1830" i="91" s="1"/>
  <c r="F1829" i="91"/>
  <c r="G1829" i="91" s="1"/>
  <c r="E1828" i="91"/>
  <c r="F1828" i="91" s="1"/>
  <c r="G1828" i="91" s="1"/>
  <c r="F1827" i="91"/>
  <c r="G1827" i="91" s="1"/>
  <c r="E1826" i="91"/>
  <c r="F1825" i="91"/>
  <c r="G1825" i="91" s="1"/>
  <c r="F1824" i="91"/>
  <c r="G1824" i="91" s="1"/>
  <c r="E1823" i="91"/>
  <c r="F1823" i="91" s="1"/>
  <c r="G1823" i="91" s="1"/>
  <c r="F1822" i="91"/>
  <c r="G1822" i="91" s="1"/>
  <c r="F1821" i="91"/>
  <c r="G1821" i="91" s="1"/>
  <c r="F1820" i="91"/>
  <c r="G1820" i="91" s="1"/>
  <c r="F1819" i="91"/>
  <c r="G1819" i="91" s="1"/>
  <c r="F1818" i="91"/>
  <c r="G1818" i="91" s="1"/>
  <c r="F1816" i="91"/>
  <c r="G1816" i="91" s="1"/>
  <c r="E1815" i="91"/>
  <c r="F1814" i="91"/>
  <c r="G1814" i="91" s="1"/>
  <c r="F1813" i="91"/>
  <c r="G1813" i="91" s="1"/>
  <c r="E1812" i="91"/>
  <c r="F1812" i="91" s="1"/>
  <c r="G1812" i="91" s="1"/>
  <c r="F1811" i="91"/>
  <c r="G1811" i="91" s="1"/>
  <c r="E1810" i="91"/>
  <c r="F1810" i="91" s="1"/>
  <c r="G1810" i="91" s="1"/>
  <c r="F1809" i="91"/>
  <c r="G1809" i="91" s="1"/>
  <c r="F1808" i="91"/>
  <c r="G1808" i="91" s="1"/>
  <c r="E1807" i="91"/>
  <c r="F1807" i="91" s="1"/>
  <c r="G1807" i="91" s="1"/>
  <c r="F1806" i="91"/>
  <c r="G1806" i="91" s="1"/>
  <c r="E1805" i="91"/>
  <c r="F1805" i="91" s="1"/>
  <c r="G1805" i="91" s="1"/>
  <c r="F1804" i="91"/>
  <c r="G1804" i="91" s="1"/>
  <c r="F1803" i="91"/>
  <c r="G1803" i="91" s="1"/>
  <c r="F1802" i="91"/>
  <c r="G1802" i="91" s="1"/>
  <c r="E1801" i="91"/>
  <c r="F1801" i="91" s="1"/>
  <c r="G1801" i="91" s="1"/>
  <c r="F1800" i="91"/>
  <c r="G1800" i="91" s="1"/>
  <c r="E1799" i="91"/>
  <c r="F1799" i="91" s="1"/>
  <c r="G1799" i="91" s="1"/>
  <c r="F1798" i="91"/>
  <c r="G1798" i="91" s="1"/>
  <c r="F1797" i="91"/>
  <c r="G1797" i="91" s="1"/>
  <c r="E1796" i="91"/>
  <c r="F1796" i="91" s="1"/>
  <c r="G1796" i="91" s="1"/>
  <c r="F1795" i="91"/>
  <c r="G1795" i="91" s="1"/>
  <c r="F1794" i="91"/>
  <c r="G1794" i="91" s="1"/>
  <c r="F1793" i="91"/>
  <c r="G1793" i="91" s="1"/>
  <c r="F1792" i="91"/>
  <c r="G1792" i="91" s="1"/>
  <c r="E1791" i="91"/>
  <c r="F1791" i="91" s="1"/>
  <c r="G1791" i="91" s="1"/>
  <c r="F1790" i="91"/>
  <c r="G1790" i="91" s="1"/>
  <c r="F1789" i="91"/>
  <c r="G1789" i="91" s="1"/>
  <c r="F1788" i="91"/>
  <c r="G1788" i="91" s="1"/>
  <c r="E1787" i="91"/>
  <c r="F1787" i="91" s="1"/>
  <c r="G1787" i="91" s="1"/>
  <c r="F1786" i="91"/>
  <c r="G1786" i="91" s="1"/>
  <c r="F1785" i="91"/>
  <c r="G1785" i="91" s="1"/>
  <c r="F1784" i="91"/>
  <c r="G1784" i="91" s="1"/>
  <c r="E1783" i="91"/>
  <c r="F1783" i="91" s="1"/>
  <c r="G1783" i="91" s="1"/>
  <c r="F1782" i="91"/>
  <c r="G1782" i="91" s="1"/>
  <c r="F1781" i="91"/>
  <c r="G1781" i="91" s="1"/>
  <c r="F1780" i="91"/>
  <c r="G1780" i="91" s="1"/>
  <c r="E1779" i="91"/>
  <c r="F1779" i="91" s="1"/>
  <c r="G1779" i="91" s="1"/>
  <c r="F1778" i="91"/>
  <c r="G1778" i="91" s="1"/>
  <c r="F1777" i="91"/>
  <c r="G1777" i="91" s="1"/>
  <c r="F1776" i="91"/>
  <c r="G1776" i="91" s="1"/>
  <c r="F1775" i="91"/>
  <c r="G1775" i="91" s="1"/>
  <c r="E1772" i="91"/>
  <c r="F1772" i="91" s="1"/>
  <c r="G1772" i="91" s="1"/>
  <c r="F1771" i="91"/>
  <c r="G1771" i="91" s="1"/>
  <c r="F1770" i="91"/>
  <c r="G1770" i="91" s="1"/>
  <c r="F1769" i="91"/>
  <c r="G1769" i="91" s="1"/>
  <c r="F1767" i="91"/>
  <c r="G1767" i="91" s="1"/>
  <c r="E1766" i="91"/>
  <c r="F1766" i="91" s="1"/>
  <c r="G1766" i="91" s="1"/>
  <c r="F1765" i="91"/>
  <c r="G1765" i="91" s="1"/>
  <c r="F1764" i="91"/>
  <c r="G1764" i="91" s="1"/>
  <c r="F1763" i="91"/>
  <c r="G1763" i="91" s="1"/>
  <c r="F1761" i="91"/>
  <c r="G1761" i="91" s="1"/>
  <c r="E1760" i="91"/>
  <c r="F1759" i="91"/>
  <c r="G1759" i="91" s="1"/>
  <c r="F1758" i="91"/>
  <c r="G1758" i="91" s="1"/>
  <c r="E1757" i="91"/>
  <c r="F1757" i="91" s="1"/>
  <c r="G1757" i="91" s="1"/>
  <c r="F1756" i="91"/>
  <c r="G1756" i="91" s="1"/>
  <c r="E1755" i="91"/>
  <c r="F1755" i="91" s="1"/>
  <c r="G1755" i="91" s="1"/>
  <c r="F1754" i="91"/>
  <c r="G1754" i="91" s="1"/>
  <c r="F1753" i="91"/>
  <c r="G1753" i="91" s="1"/>
  <c r="E1752" i="91"/>
  <c r="F1752" i="91" s="1"/>
  <c r="G1752" i="91" s="1"/>
  <c r="F1751" i="91"/>
  <c r="G1751" i="91" s="1"/>
  <c r="E1750" i="91"/>
  <c r="F1750" i="91" s="1"/>
  <c r="G1750" i="91" s="1"/>
  <c r="F1749" i="91"/>
  <c r="G1749" i="91" s="1"/>
  <c r="F1748" i="91"/>
  <c r="G1748" i="91" s="1"/>
  <c r="F1747" i="91"/>
  <c r="G1747" i="91" s="1"/>
  <c r="E1746" i="91"/>
  <c r="F1746" i="91" s="1"/>
  <c r="G1746" i="91" s="1"/>
  <c r="F1745" i="91"/>
  <c r="G1745" i="91" s="1"/>
  <c r="E1744" i="91"/>
  <c r="F1744" i="91" s="1"/>
  <c r="G1744" i="91" s="1"/>
  <c r="F1743" i="91"/>
  <c r="G1743" i="91" s="1"/>
  <c r="F1742" i="91"/>
  <c r="G1742" i="91" s="1"/>
  <c r="E1741" i="91"/>
  <c r="F1741" i="91" s="1"/>
  <c r="G1741" i="91" s="1"/>
  <c r="F1740" i="91"/>
  <c r="G1740" i="91" s="1"/>
  <c r="F1739" i="91"/>
  <c r="G1739" i="91" s="1"/>
  <c r="F1738" i="91"/>
  <c r="G1738" i="91" s="1"/>
  <c r="F1737" i="91"/>
  <c r="G1737" i="91" s="1"/>
  <c r="E1736" i="91"/>
  <c r="F1736" i="91" s="1"/>
  <c r="G1736" i="91" s="1"/>
  <c r="F1735" i="91"/>
  <c r="G1735" i="91" s="1"/>
  <c r="F1734" i="91"/>
  <c r="G1734" i="91" s="1"/>
  <c r="F1733" i="91"/>
  <c r="G1733" i="91" s="1"/>
  <c r="E1732" i="91"/>
  <c r="F1732" i="91" s="1"/>
  <c r="G1732" i="91" s="1"/>
  <c r="F1731" i="91"/>
  <c r="G1731" i="91" s="1"/>
  <c r="F1730" i="91"/>
  <c r="G1730" i="91" s="1"/>
  <c r="F1729" i="91"/>
  <c r="G1729" i="91" s="1"/>
  <c r="E1728" i="91"/>
  <c r="F1728" i="91" s="1"/>
  <c r="G1728" i="91" s="1"/>
  <c r="F1727" i="91"/>
  <c r="G1727" i="91" s="1"/>
  <c r="F1726" i="91"/>
  <c r="G1726" i="91" s="1"/>
  <c r="F1725" i="91"/>
  <c r="G1725" i="91" s="1"/>
  <c r="E1724" i="91"/>
  <c r="F1724" i="91" s="1"/>
  <c r="G1724" i="91" s="1"/>
  <c r="F1723" i="91"/>
  <c r="G1723" i="91" s="1"/>
  <c r="F1722" i="91"/>
  <c r="G1722" i="91" s="1"/>
  <c r="F1721" i="91"/>
  <c r="G1721" i="91" s="1"/>
  <c r="F1720" i="91"/>
  <c r="G1720" i="91" s="1"/>
  <c r="F1719" i="91"/>
  <c r="G1719" i="91" s="1"/>
  <c r="F1716" i="91"/>
  <c r="G1716" i="91" s="1"/>
  <c r="F1715" i="91"/>
  <c r="G1715" i="91" s="1"/>
  <c r="F1714" i="91"/>
  <c r="G1714" i="91" s="1"/>
  <c r="E1713" i="91"/>
  <c r="F1712" i="91"/>
  <c r="G1712" i="91" s="1"/>
  <c r="E1711" i="91"/>
  <c r="F1711" i="91" s="1"/>
  <c r="G1711" i="91" s="1"/>
  <c r="F1710" i="91"/>
  <c r="G1710" i="91" s="1"/>
  <c r="F1709" i="91"/>
  <c r="G1709" i="91" s="1"/>
  <c r="F1708" i="91"/>
  <c r="G1708" i="91" s="1"/>
  <c r="F1707" i="91"/>
  <c r="G1707" i="91" s="1"/>
  <c r="F1705" i="91"/>
  <c r="G1705" i="91" s="1"/>
  <c r="E1704" i="91"/>
  <c r="F1704" i="91" s="1"/>
  <c r="G1704" i="91" s="1"/>
  <c r="F1703" i="91"/>
  <c r="G1703" i="91" s="1"/>
  <c r="F1702" i="91"/>
  <c r="G1702" i="91" s="1"/>
  <c r="E1701" i="91"/>
  <c r="F1701" i="91" s="1"/>
  <c r="G1701" i="91" s="1"/>
  <c r="F1700" i="91"/>
  <c r="G1700" i="91" s="1"/>
  <c r="E1699" i="91"/>
  <c r="F1699" i="91" s="1"/>
  <c r="G1699" i="91" s="1"/>
  <c r="F1698" i="91"/>
  <c r="G1698" i="91" s="1"/>
  <c r="F1697" i="91"/>
  <c r="G1697" i="91" s="1"/>
  <c r="E1696" i="91"/>
  <c r="F1696" i="91" s="1"/>
  <c r="G1696" i="91" s="1"/>
  <c r="F1695" i="91"/>
  <c r="G1695" i="91" s="1"/>
  <c r="E1694" i="91"/>
  <c r="F1694" i="91" s="1"/>
  <c r="G1694" i="91" s="1"/>
  <c r="F1693" i="91"/>
  <c r="G1693" i="91" s="1"/>
  <c r="F1692" i="91"/>
  <c r="G1692" i="91" s="1"/>
  <c r="F1691" i="91"/>
  <c r="G1691" i="91" s="1"/>
  <c r="E1690" i="91"/>
  <c r="F1690" i="91" s="1"/>
  <c r="G1690" i="91" s="1"/>
  <c r="F1689" i="91"/>
  <c r="G1689" i="91" s="1"/>
  <c r="F1688" i="91"/>
  <c r="G1688" i="91" s="1"/>
  <c r="E1687" i="91"/>
  <c r="F1687" i="91" s="1"/>
  <c r="G1687" i="91" s="1"/>
  <c r="F1686" i="91"/>
  <c r="G1686" i="91" s="1"/>
  <c r="F1685" i="91"/>
  <c r="G1685" i="91" s="1"/>
  <c r="F1684" i="91"/>
  <c r="G1684" i="91" s="1"/>
  <c r="F1683" i="91"/>
  <c r="G1683" i="91" s="1"/>
  <c r="E1682" i="91"/>
  <c r="F1682" i="91" s="1"/>
  <c r="G1682" i="91" s="1"/>
  <c r="F1681" i="91"/>
  <c r="G1681" i="91" s="1"/>
  <c r="F1680" i="91"/>
  <c r="G1680" i="91" s="1"/>
  <c r="F1679" i="91"/>
  <c r="G1679" i="91" s="1"/>
  <c r="E1678" i="91"/>
  <c r="F1678" i="91" s="1"/>
  <c r="G1678" i="91" s="1"/>
  <c r="F1677" i="91"/>
  <c r="G1677" i="91" s="1"/>
  <c r="F1676" i="91"/>
  <c r="G1676" i="91" s="1"/>
  <c r="F1675" i="91"/>
  <c r="G1675" i="91" s="1"/>
  <c r="E1674" i="91"/>
  <c r="F1674" i="91" s="1"/>
  <c r="G1674" i="91" s="1"/>
  <c r="F1673" i="91"/>
  <c r="G1673" i="91" s="1"/>
  <c r="F1672" i="91"/>
  <c r="G1672" i="91" s="1"/>
  <c r="F1671" i="91"/>
  <c r="G1671" i="91" s="1"/>
  <c r="E1670" i="91"/>
  <c r="F1669" i="91"/>
  <c r="G1669" i="91" s="1"/>
  <c r="F1668" i="91"/>
  <c r="G1668" i="91" s="1"/>
  <c r="F1667" i="91"/>
  <c r="G1667" i="91" s="1"/>
  <c r="F1666" i="91"/>
  <c r="G1666" i="91" s="1"/>
  <c r="F1665" i="91"/>
  <c r="G1665" i="91" s="1"/>
  <c r="F1663" i="91"/>
  <c r="G1663" i="91" s="1"/>
  <c r="F1662" i="91"/>
  <c r="G1662" i="91" s="1"/>
  <c r="E1661" i="91"/>
  <c r="F1661" i="91" s="1"/>
  <c r="G1661" i="91" s="1"/>
  <c r="F1660" i="91"/>
  <c r="G1660" i="91" s="1"/>
  <c r="F1659" i="91"/>
  <c r="G1659" i="91" s="1"/>
  <c r="E1658" i="91"/>
  <c r="F1658" i="91" s="1"/>
  <c r="G1658" i="91" s="1"/>
  <c r="F1657" i="91"/>
  <c r="G1657" i="91" s="1"/>
  <c r="E1656" i="91"/>
  <c r="F1656" i="91" s="1"/>
  <c r="G1656" i="91" s="1"/>
  <c r="F1655" i="91"/>
  <c r="G1655" i="91" s="1"/>
  <c r="F1654" i="91"/>
  <c r="G1654" i="91" s="1"/>
  <c r="E1653" i="91"/>
  <c r="F1653" i="91" s="1"/>
  <c r="G1653" i="91" s="1"/>
  <c r="F1652" i="91"/>
  <c r="G1652" i="91" s="1"/>
  <c r="F1651" i="91"/>
  <c r="G1651" i="91" s="1"/>
  <c r="F1650" i="91"/>
  <c r="G1650" i="91" s="1"/>
  <c r="E1649" i="91"/>
  <c r="F1649" i="91" s="1"/>
  <c r="G1649" i="91" s="1"/>
  <c r="F1648" i="91"/>
  <c r="G1648" i="91" s="1"/>
  <c r="F1647" i="91"/>
  <c r="G1647" i="91" s="1"/>
  <c r="F1646" i="91"/>
  <c r="G1646" i="91" s="1"/>
  <c r="E1645" i="91"/>
  <c r="F1645" i="91" s="1"/>
  <c r="G1645" i="91" s="1"/>
  <c r="F1644" i="91"/>
  <c r="G1644" i="91" s="1"/>
  <c r="F1643" i="91"/>
  <c r="G1643" i="91" s="1"/>
  <c r="F1642" i="91"/>
  <c r="G1642" i="91" s="1"/>
  <c r="E1641" i="91"/>
  <c r="F1641" i="91" s="1"/>
  <c r="G1641" i="91" s="1"/>
  <c r="F1640" i="91"/>
  <c r="G1640" i="91" s="1"/>
  <c r="F1639" i="91"/>
  <c r="G1639" i="91" s="1"/>
  <c r="F1638" i="91"/>
  <c r="G1638" i="91" s="1"/>
  <c r="E1637" i="91"/>
  <c r="F1637" i="91" s="1"/>
  <c r="G1637" i="91" s="1"/>
  <c r="F1636" i="91"/>
  <c r="G1636" i="91" s="1"/>
  <c r="F1635" i="91"/>
  <c r="G1635" i="91" s="1"/>
  <c r="E1634" i="91"/>
  <c r="F1634" i="91" s="1"/>
  <c r="G1634" i="91" s="1"/>
  <c r="E1633" i="91"/>
  <c r="E1632" i="91" s="1"/>
  <c r="F1632" i="91" s="1"/>
  <c r="G1632" i="91" s="1"/>
  <c r="F1631" i="91"/>
  <c r="G1631" i="91" s="1"/>
  <c r="F1630" i="91"/>
  <c r="G1630" i="91" s="1"/>
  <c r="F1629" i="91"/>
  <c r="G1629" i="91" s="1"/>
  <c r="E1881" i="91" l="1"/>
  <c r="C669" i="3" s="1"/>
  <c r="E330" i="91"/>
  <c r="E78" i="91"/>
  <c r="E240" i="91"/>
  <c r="E242" i="91" s="1"/>
  <c r="C640" i="3"/>
  <c r="C611" i="3"/>
  <c r="C627" i="3"/>
  <c r="C653" i="3"/>
  <c r="C613" i="3"/>
  <c r="E1717" i="91"/>
  <c r="C629" i="3" s="1"/>
  <c r="F1874" i="91"/>
  <c r="G1874" i="91" s="1"/>
  <c r="E1832" i="91"/>
  <c r="C655" i="3" s="1"/>
  <c r="E1768" i="91"/>
  <c r="E1762" i="91"/>
  <c r="E1870" i="91"/>
  <c r="F1867" i="91"/>
  <c r="G1867" i="91" s="1"/>
  <c r="E1706" i="91"/>
  <c r="F1670" i="91"/>
  <c r="G1670" i="91" s="1"/>
  <c r="F1633" i="91"/>
  <c r="G1633" i="91" s="1"/>
  <c r="F1713" i="91"/>
  <c r="G1713" i="91" s="1"/>
  <c r="F1760" i="91"/>
  <c r="G1760" i="91" s="1"/>
  <c r="F1826" i="91"/>
  <c r="G1826" i="91" s="1"/>
  <c r="E1664" i="91"/>
  <c r="C612" i="3" s="1"/>
  <c r="E1817" i="91"/>
  <c r="F1881" i="91"/>
  <c r="F1815" i="91"/>
  <c r="G1815" i="91" s="1"/>
  <c r="E332" i="91" l="1"/>
  <c r="E334" i="91" s="1"/>
  <c r="F1832" i="91"/>
  <c r="G1832" i="91" s="1"/>
  <c r="F1717" i="91"/>
  <c r="G1717" i="91" s="1"/>
  <c r="F1870" i="91"/>
  <c r="G1870" i="91" s="1"/>
  <c r="C666" i="3"/>
  <c r="F1706" i="91"/>
  <c r="G1706" i="91" s="1"/>
  <c r="C626" i="3"/>
  <c r="F1762" i="91"/>
  <c r="G1762" i="91" s="1"/>
  <c r="C639" i="3"/>
  <c r="E1882" i="91"/>
  <c r="F1882" i="91" s="1"/>
  <c r="G1882" i="91" s="1"/>
  <c r="F1817" i="91"/>
  <c r="G1817" i="91" s="1"/>
  <c r="C652" i="3"/>
  <c r="F1768" i="91"/>
  <c r="G1768" i="91" s="1"/>
  <c r="E1773" i="91"/>
  <c r="C642" i="3" s="1"/>
  <c r="E1883" i="91"/>
  <c r="F1664" i="91"/>
  <c r="E1718" i="91"/>
  <c r="F1718" i="91" s="1"/>
  <c r="G1718" i="91" s="1"/>
  <c r="G1881" i="91"/>
  <c r="E1833" i="91"/>
  <c r="F1833" i="91" s="1"/>
  <c r="G1833" i="91" s="1"/>
  <c r="F1773" i="91" l="1"/>
  <c r="E1774" i="91"/>
  <c r="F1774" i="91" s="1"/>
  <c r="G1774" i="91" s="1"/>
  <c r="E1884" i="91"/>
  <c r="E1885" i="91" s="1"/>
  <c r="F1883" i="91"/>
  <c r="G1664" i="91"/>
  <c r="G1883" i="91" s="1"/>
  <c r="G1773" i="91" l="1"/>
  <c r="G1884" i="91" s="1"/>
  <c r="G1885" i="91" s="1"/>
  <c r="F1884" i="91"/>
  <c r="F1885" i="91" s="1"/>
  <c r="F2458" i="91" l="1"/>
  <c r="F2457" i="91" s="1"/>
  <c r="E2457" i="91"/>
  <c r="E1523" i="91"/>
  <c r="E1522" i="91"/>
  <c r="E1537" i="91"/>
  <c r="E3193" i="91"/>
  <c r="E3191" i="91"/>
  <c r="E3215" i="91"/>
  <c r="E3210" i="91"/>
  <c r="E3184" i="91"/>
  <c r="E3183" i="91"/>
  <c r="E3182" i="91"/>
  <c r="G2458" i="91" l="1"/>
  <c r="G2457" i="91" s="1"/>
  <c r="E3424" i="91"/>
  <c r="Q67" i="39" l="1"/>
  <c r="O67" i="39"/>
  <c r="Q62" i="39"/>
  <c r="O62" i="39"/>
  <c r="I62" i="39"/>
  <c r="H62" i="39"/>
  <c r="G60" i="39"/>
  <c r="F60" i="39"/>
  <c r="D60" i="39"/>
  <c r="C60" i="39"/>
  <c r="O59" i="39"/>
  <c r="J59" i="39"/>
  <c r="K59" i="39" s="1"/>
  <c r="F59" i="39"/>
  <c r="J58" i="39"/>
  <c r="K58" i="39" s="1"/>
  <c r="H58" i="39"/>
  <c r="O58" i="39" s="1"/>
  <c r="Q57" i="39"/>
  <c r="O57" i="39"/>
  <c r="J57" i="39"/>
  <c r="K57" i="39" s="1"/>
  <c r="H57" i="39"/>
  <c r="J56" i="39"/>
  <c r="K56" i="39" s="1"/>
  <c r="H56" i="39"/>
  <c r="Q56" i="39" s="1"/>
  <c r="K55" i="39"/>
  <c r="J55" i="39"/>
  <c r="E55" i="39"/>
  <c r="H55" i="39" s="1"/>
  <c r="J54" i="39"/>
  <c r="K54" i="39" s="1"/>
  <c r="H54" i="39"/>
  <c r="Q54" i="39" s="1"/>
  <c r="Q53" i="39"/>
  <c r="O53" i="39"/>
  <c r="J53" i="39"/>
  <c r="K53" i="39" s="1"/>
  <c r="H53" i="39"/>
  <c r="Q52" i="39"/>
  <c r="O52" i="39"/>
  <c r="J52" i="39"/>
  <c r="K52" i="39" s="1"/>
  <c r="H52" i="39"/>
  <c r="I51" i="39"/>
  <c r="Q51" i="39" s="1"/>
  <c r="H51" i="39"/>
  <c r="E51" i="39"/>
  <c r="E60" i="39" s="1"/>
  <c r="Q50" i="39"/>
  <c r="O50" i="39"/>
  <c r="I50" i="39"/>
  <c r="J50" i="39" s="1"/>
  <c r="K50" i="39" s="1"/>
  <c r="H50" i="39"/>
  <c r="J49" i="39"/>
  <c r="K49" i="39" s="1"/>
  <c r="H49" i="39"/>
  <c r="Q49" i="39" s="1"/>
  <c r="Q48" i="39"/>
  <c r="O48" i="39"/>
  <c r="K48" i="39"/>
  <c r="J48" i="39"/>
  <c r="H48" i="39"/>
  <c r="J47" i="39"/>
  <c r="K47" i="39" s="1"/>
  <c r="H47" i="39"/>
  <c r="O47" i="39" s="1"/>
  <c r="I46" i="39"/>
  <c r="O46" i="39" s="1"/>
  <c r="H46" i="39"/>
  <c r="J45" i="39"/>
  <c r="K45" i="39" s="1"/>
  <c r="H45" i="39"/>
  <c r="Q45" i="39" s="1"/>
  <c r="I44" i="39"/>
  <c r="J44" i="39" s="1"/>
  <c r="H44" i="39"/>
  <c r="E44" i="39"/>
  <c r="O43" i="39"/>
  <c r="I42" i="39"/>
  <c r="O42" i="39" s="1"/>
  <c r="G41" i="39"/>
  <c r="G61" i="39" s="1"/>
  <c r="G68" i="39" s="1"/>
  <c r="C41" i="39"/>
  <c r="G40" i="39"/>
  <c r="F40" i="39"/>
  <c r="E40" i="39"/>
  <c r="E41" i="39" s="1"/>
  <c r="D40" i="39"/>
  <c r="C40" i="39"/>
  <c r="K39" i="39"/>
  <c r="J39" i="39"/>
  <c r="H39" i="39"/>
  <c r="O39" i="39" s="1"/>
  <c r="K38" i="39"/>
  <c r="J38" i="39"/>
  <c r="H38" i="39"/>
  <c r="Q38" i="39" s="1"/>
  <c r="I37" i="39"/>
  <c r="O37" i="39" s="1"/>
  <c r="H37" i="39"/>
  <c r="K36" i="39"/>
  <c r="J36" i="39"/>
  <c r="I36" i="39"/>
  <c r="H36" i="39"/>
  <c r="Q36" i="39" s="1"/>
  <c r="Q34" i="39"/>
  <c r="I34" i="39"/>
  <c r="O34" i="39" s="1"/>
  <c r="H34" i="39"/>
  <c r="K33" i="39"/>
  <c r="J33" i="39"/>
  <c r="K32" i="39"/>
  <c r="J32" i="39"/>
  <c r="O31" i="39"/>
  <c r="K31" i="39"/>
  <c r="J31" i="39"/>
  <c r="I31" i="39"/>
  <c r="H31" i="39"/>
  <c r="O30" i="39"/>
  <c r="K30" i="39"/>
  <c r="J30" i="39"/>
  <c r="I29" i="39"/>
  <c r="K29" i="39" s="1"/>
  <c r="H29" i="39"/>
  <c r="Q28" i="39"/>
  <c r="O28" i="39"/>
  <c r="I28" i="39"/>
  <c r="K28" i="39" s="1"/>
  <c r="H28" i="39"/>
  <c r="I27" i="39"/>
  <c r="K27" i="39" s="1"/>
  <c r="H27" i="39"/>
  <c r="Q26" i="39"/>
  <c r="O26" i="39"/>
  <c r="K26" i="39"/>
  <c r="I26" i="39"/>
  <c r="J26" i="39" s="1"/>
  <c r="H26" i="39"/>
  <c r="I25" i="39"/>
  <c r="K25" i="39" s="1"/>
  <c r="H25" i="39"/>
  <c r="Q24" i="39"/>
  <c r="O24" i="39"/>
  <c r="K24" i="39"/>
  <c r="J24" i="39"/>
  <c r="H24" i="39"/>
  <c r="K23" i="39"/>
  <c r="J23" i="39"/>
  <c r="H23" i="39"/>
  <c r="Q23" i="39" s="1"/>
  <c r="K22" i="39"/>
  <c r="J22" i="39"/>
  <c r="H22" i="39"/>
  <c r="Q22" i="39" s="1"/>
  <c r="Q21" i="39"/>
  <c r="K21" i="39"/>
  <c r="J21" i="39"/>
  <c r="H21" i="39"/>
  <c r="O21" i="39" s="1"/>
  <c r="I20" i="39"/>
  <c r="K20" i="39" s="1"/>
  <c r="H20" i="39"/>
  <c r="O19" i="39"/>
  <c r="K19" i="39"/>
  <c r="J19" i="39"/>
  <c r="H19" i="39"/>
  <c r="I18" i="39"/>
  <c r="J18" i="39" s="1"/>
  <c r="H18" i="39"/>
  <c r="I17" i="39"/>
  <c r="J17" i="39" s="1"/>
  <c r="H17" i="39"/>
  <c r="H40" i="39" s="1"/>
  <c r="I16" i="39"/>
  <c r="Q16" i="39" s="1"/>
  <c r="H16" i="39"/>
  <c r="I15" i="39"/>
  <c r="K15" i="39" s="1"/>
  <c r="H15" i="39"/>
  <c r="K14" i="39"/>
  <c r="J14" i="39"/>
  <c r="H14" i="39"/>
  <c r="Q14" i="39" s="1"/>
  <c r="O13" i="39"/>
  <c r="K13" i="39"/>
  <c r="J13" i="39"/>
  <c r="O12" i="39"/>
  <c r="K12" i="39"/>
  <c r="J12" i="39"/>
  <c r="O11" i="39"/>
  <c r="K11" i="39"/>
  <c r="J11" i="39"/>
  <c r="O10" i="39"/>
  <c r="O9" i="39"/>
  <c r="J8" i="39"/>
  <c r="I8" i="39"/>
  <c r="H8" i="39"/>
  <c r="F8" i="39"/>
  <c r="F41" i="39" s="1"/>
  <c r="E8" i="39"/>
  <c r="D8" i="39"/>
  <c r="D41" i="39" s="1"/>
  <c r="D61" i="39" s="1"/>
  <c r="D68" i="39" s="1"/>
  <c r="J7" i="39"/>
  <c r="K7" i="39" s="1"/>
  <c r="K8" i="39" s="1"/>
  <c r="H7" i="39"/>
  <c r="M7" i="39" s="1"/>
  <c r="O6" i="39"/>
  <c r="C24" i="92"/>
  <c r="K20" i="92"/>
  <c r="I20" i="92"/>
  <c r="AF19" i="92"/>
  <c r="C19" i="92"/>
  <c r="AO19" i="92" s="1"/>
  <c r="B19" i="92"/>
  <c r="AN19" i="92" s="1"/>
  <c r="AF18" i="92"/>
  <c r="AF17" i="92"/>
  <c r="AF16" i="92"/>
  <c r="AF15" i="92"/>
  <c r="AF14" i="92"/>
  <c r="AF13" i="92"/>
  <c r="AF12" i="92"/>
  <c r="AF11" i="92"/>
  <c r="AF10" i="92"/>
  <c r="AF9" i="92"/>
  <c r="AF8" i="92"/>
  <c r="AF7" i="92"/>
  <c r="Z7" i="92"/>
  <c r="Z9" i="92" s="1"/>
  <c r="AF6" i="92"/>
  <c r="AF5" i="92"/>
  <c r="AF4" i="92"/>
  <c r="C24" i="8"/>
  <c r="K20" i="8"/>
  <c r="I20" i="8"/>
  <c r="Z9" i="8"/>
  <c r="Z7" i="8"/>
  <c r="D136" i="4"/>
  <c r="D99" i="4"/>
  <c r="D82" i="4"/>
  <c r="D79" i="4"/>
  <c r="D48" i="4"/>
  <c r="D16" i="4"/>
  <c r="D2157" i="3"/>
  <c r="E2157" i="3" s="1"/>
  <c r="D2156" i="3"/>
  <c r="E2156" i="3" s="1"/>
  <c r="E2155" i="3"/>
  <c r="D2155" i="3"/>
  <c r="C2155" i="3"/>
  <c r="D137" i="4" s="1"/>
  <c r="E2151" i="3"/>
  <c r="D2151" i="3"/>
  <c r="C2151" i="3"/>
  <c r="D2145" i="3"/>
  <c r="E2145" i="3" s="1"/>
  <c r="D2144" i="3"/>
  <c r="D2143" i="3" s="1"/>
  <c r="C2143" i="3"/>
  <c r="D2142" i="3"/>
  <c r="E2142" i="3" s="1"/>
  <c r="E2128" i="3" s="1"/>
  <c r="D2141" i="3"/>
  <c r="D2127" i="3" s="1"/>
  <c r="D2140" i="3"/>
  <c r="E2140" i="3" s="1"/>
  <c r="D2139" i="3"/>
  <c r="C2139" i="3"/>
  <c r="C2146" i="3" s="1"/>
  <c r="C2116" i="3" s="1"/>
  <c r="C2131" i="3"/>
  <c r="C2130" i="3"/>
  <c r="C2129" i="3" s="1"/>
  <c r="E19" i="92" s="1"/>
  <c r="AP19" i="92" s="1"/>
  <c r="C2128" i="3"/>
  <c r="C2127" i="3"/>
  <c r="C19" i="8" s="1"/>
  <c r="C2126" i="3"/>
  <c r="B19" i="8" s="1"/>
  <c r="L19" i="8" s="1"/>
  <c r="C2125" i="3"/>
  <c r="D2109" i="3"/>
  <c r="E2109" i="3" s="1"/>
  <c r="D2108" i="3"/>
  <c r="E2108" i="3" s="1"/>
  <c r="E2107" i="3" s="1"/>
  <c r="D2107" i="3"/>
  <c r="C2107" i="3"/>
  <c r="D134" i="4" s="1"/>
  <c r="D2104" i="3"/>
  <c r="E2104" i="3" s="1"/>
  <c r="E2096" i="3"/>
  <c r="E2094" i="3" s="1"/>
  <c r="D2096" i="3"/>
  <c r="D2094" i="3" s="1"/>
  <c r="D2095" i="3"/>
  <c r="E2095" i="3" s="1"/>
  <c r="C2094" i="3"/>
  <c r="D2091" i="3"/>
  <c r="E2091" i="3" s="1"/>
  <c r="D2083" i="3"/>
  <c r="E2083" i="3" s="1"/>
  <c r="D2082" i="3"/>
  <c r="C2081" i="3"/>
  <c r="D2078" i="3"/>
  <c r="E2078" i="3" s="1"/>
  <c r="E2070" i="3"/>
  <c r="D2027" i="3"/>
  <c r="E2027" i="3" s="1"/>
  <c r="D2024" i="3"/>
  <c r="E2024" i="3" s="1"/>
  <c r="D2022" i="3"/>
  <c r="E2022" i="3" s="1"/>
  <c r="D2014" i="3"/>
  <c r="E2014" i="3" s="1"/>
  <c r="D2011" i="3"/>
  <c r="E2011" i="3" s="1"/>
  <c r="D2009" i="3"/>
  <c r="E2009" i="3" s="1"/>
  <c r="D2002" i="3"/>
  <c r="E2002" i="3" s="1"/>
  <c r="D1999" i="3"/>
  <c r="E1999" i="3" s="1"/>
  <c r="D1997" i="3"/>
  <c r="E1997" i="3" s="1"/>
  <c r="D1990" i="3"/>
  <c r="E1990" i="3" s="1"/>
  <c r="E1988" i="3" s="1"/>
  <c r="D1988" i="3"/>
  <c r="D1987" i="3"/>
  <c r="E1987" i="3" s="1"/>
  <c r="D1985" i="3"/>
  <c r="E1985" i="3" s="1"/>
  <c r="D1978" i="3"/>
  <c r="E1978" i="3" s="1"/>
  <c r="D1975" i="3"/>
  <c r="E1975" i="3" s="1"/>
  <c r="D1965" i="3"/>
  <c r="E1965" i="3" s="1"/>
  <c r="D1962" i="3"/>
  <c r="E1962" i="3" s="1"/>
  <c r="D1951" i="3"/>
  <c r="D1948" i="3"/>
  <c r="E1948" i="3" s="1"/>
  <c r="C1936" i="3"/>
  <c r="C1933" i="3"/>
  <c r="D1903" i="3"/>
  <c r="E1903" i="3" s="1"/>
  <c r="D1902" i="3"/>
  <c r="E1902" i="3" s="1"/>
  <c r="C1901" i="3"/>
  <c r="D1900" i="3"/>
  <c r="E1900" i="3" s="1"/>
  <c r="D1899" i="3"/>
  <c r="E1899" i="3" s="1"/>
  <c r="D1898" i="3"/>
  <c r="E1898" i="3" s="1"/>
  <c r="E1897" i="3" s="1"/>
  <c r="C1897" i="3"/>
  <c r="D1890" i="3"/>
  <c r="E1890" i="3" s="1"/>
  <c r="D1887" i="3"/>
  <c r="E1887" i="3" s="1"/>
  <c r="D1885" i="3"/>
  <c r="E1885" i="3" s="1"/>
  <c r="D1875" i="3"/>
  <c r="E1875" i="3" s="1"/>
  <c r="D1872" i="3"/>
  <c r="E1872" i="3" s="1"/>
  <c r="D1870" i="3"/>
  <c r="E1870" i="3" s="1"/>
  <c r="D1862" i="3"/>
  <c r="D1857" i="3"/>
  <c r="E1857" i="3" s="1"/>
  <c r="D1848" i="3"/>
  <c r="E1848" i="3" s="1"/>
  <c r="D1843" i="3"/>
  <c r="E1843" i="3" s="1"/>
  <c r="D1834" i="3"/>
  <c r="E1834" i="3" s="1"/>
  <c r="C1818" i="3"/>
  <c r="D1784" i="3"/>
  <c r="E1784" i="3" s="1"/>
  <c r="D1781" i="3"/>
  <c r="E1781" i="3" s="1"/>
  <c r="D1779" i="3"/>
  <c r="E1779" i="3" s="1"/>
  <c r="C1779" i="3"/>
  <c r="D1771" i="3"/>
  <c r="E1771" i="3" s="1"/>
  <c r="D1766" i="3"/>
  <c r="E1766" i="3" s="1"/>
  <c r="C1766" i="3"/>
  <c r="D1758" i="3"/>
  <c r="D1755" i="3"/>
  <c r="E1755" i="3" s="1"/>
  <c r="D1753" i="3"/>
  <c r="E1753" i="3" s="1"/>
  <c r="C1753" i="3"/>
  <c r="D1746" i="3"/>
  <c r="E1746" i="3" s="1"/>
  <c r="D1743" i="3"/>
  <c r="E1743" i="3" s="1"/>
  <c r="D1741" i="3"/>
  <c r="E1741" i="3" s="1"/>
  <c r="D1732" i="3"/>
  <c r="D1731" i="3"/>
  <c r="E1731" i="3" s="1"/>
  <c r="C1730" i="3"/>
  <c r="D111" i="4" s="1"/>
  <c r="D1729" i="3"/>
  <c r="E1729" i="3" s="1"/>
  <c r="D1727" i="3"/>
  <c r="E1727" i="3" s="1"/>
  <c r="D1718" i="3"/>
  <c r="E1718" i="3" s="1"/>
  <c r="D1717" i="3"/>
  <c r="E1717" i="3" s="1"/>
  <c r="C1716" i="3"/>
  <c r="D110" i="4" s="1"/>
  <c r="D1715" i="3"/>
  <c r="E1715" i="3" s="1"/>
  <c r="C1702" i="3"/>
  <c r="D1674" i="3"/>
  <c r="E1674" i="3" s="1"/>
  <c r="D1669" i="3"/>
  <c r="E1669" i="3" s="1"/>
  <c r="D1662" i="3"/>
  <c r="E1662" i="3" s="1"/>
  <c r="D1657" i="3"/>
  <c r="E1657" i="3" s="1"/>
  <c r="D1648" i="3"/>
  <c r="E1648" i="3" s="1"/>
  <c r="D1647" i="3"/>
  <c r="E1647" i="3" s="1"/>
  <c r="E1646" i="3" s="1"/>
  <c r="C1646" i="3"/>
  <c r="D106" i="4" s="1"/>
  <c r="D1633" i="3"/>
  <c r="E1633" i="3" s="1"/>
  <c r="D1628" i="3"/>
  <c r="E1628" i="3" s="1"/>
  <c r="D1619" i="3"/>
  <c r="E1619" i="3" s="1"/>
  <c r="D1614" i="3"/>
  <c r="E1614" i="3" s="1"/>
  <c r="D1606" i="3"/>
  <c r="E1606" i="3" s="1"/>
  <c r="D1603" i="3"/>
  <c r="E1603" i="3" s="1"/>
  <c r="D1601" i="3"/>
  <c r="E1601" i="3" s="1"/>
  <c r="D1591" i="3"/>
  <c r="E1591" i="3" s="1"/>
  <c r="D1586" i="3"/>
  <c r="E1586" i="3" s="1"/>
  <c r="D1575" i="3"/>
  <c r="E1575" i="3" s="1"/>
  <c r="D1574" i="3"/>
  <c r="E1574" i="3" s="1"/>
  <c r="C1573" i="3"/>
  <c r="D101" i="4" s="1"/>
  <c r="C1558" i="3"/>
  <c r="D1520" i="3"/>
  <c r="E1520" i="3" s="1"/>
  <c r="D1519" i="3"/>
  <c r="E1519" i="3" s="1"/>
  <c r="C1518" i="3"/>
  <c r="D1515" i="3"/>
  <c r="E1515" i="3" s="1"/>
  <c r="D1508" i="3"/>
  <c r="E1508" i="3" s="1"/>
  <c r="D1507" i="3"/>
  <c r="D1506" i="3" s="1"/>
  <c r="C1506" i="3"/>
  <c r="D98" i="4" s="1"/>
  <c r="D1503" i="3"/>
  <c r="E1503" i="3" s="1"/>
  <c r="D1495" i="3"/>
  <c r="D1494" i="3"/>
  <c r="E1494" i="3" s="1"/>
  <c r="C1493" i="3"/>
  <c r="D97" i="4" s="1"/>
  <c r="D1490" i="3"/>
  <c r="E1490" i="3" s="1"/>
  <c r="D1482" i="3"/>
  <c r="E1482" i="3" s="1"/>
  <c r="D1481" i="3"/>
  <c r="E1481" i="3" s="1"/>
  <c r="C1480" i="3"/>
  <c r="D96" i="4" s="1"/>
  <c r="D1477" i="3"/>
  <c r="E1477" i="3" s="1"/>
  <c r="D1468" i="3"/>
  <c r="E1468" i="3" s="1"/>
  <c r="D1467" i="3"/>
  <c r="E1467" i="3" s="1"/>
  <c r="D1466" i="3"/>
  <c r="C1466" i="3"/>
  <c r="D95" i="4" s="1"/>
  <c r="D1463" i="3"/>
  <c r="E1463" i="3" s="1"/>
  <c r="D1455" i="3"/>
  <c r="E1455" i="3" s="1"/>
  <c r="D1454" i="3"/>
  <c r="C1453" i="3"/>
  <c r="D94" i="4" s="1"/>
  <c r="D1450" i="3"/>
  <c r="E1450" i="3" s="1"/>
  <c r="C1450" i="3"/>
  <c r="D1442" i="3"/>
  <c r="E1442" i="3" s="1"/>
  <c r="D1437" i="3"/>
  <c r="E1437" i="3" s="1"/>
  <c r="D1428" i="3"/>
  <c r="C1413" i="3"/>
  <c r="D1381" i="3"/>
  <c r="E1381" i="3" s="1"/>
  <c r="D1380" i="3"/>
  <c r="E1380" i="3" s="1"/>
  <c r="E1379" i="3" s="1"/>
  <c r="C1379" i="3"/>
  <c r="D90" i="4" s="1"/>
  <c r="D1376" i="3"/>
  <c r="E1376" i="3" s="1"/>
  <c r="D1369" i="3"/>
  <c r="E1369" i="3" s="1"/>
  <c r="D1368" i="3"/>
  <c r="C1367" i="3"/>
  <c r="D89" i="4" s="1"/>
  <c r="D1364" i="3"/>
  <c r="E1364" i="3" s="1"/>
  <c r="D1356" i="3"/>
  <c r="E1356" i="3" s="1"/>
  <c r="D1351" i="3"/>
  <c r="E1351" i="3" s="1"/>
  <c r="D1342" i="3"/>
  <c r="E1342" i="3" s="1"/>
  <c r="D1337" i="3"/>
  <c r="E1337" i="3" s="1"/>
  <c r="D1330" i="3"/>
  <c r="E1330" i="3" s="1"/>
  <c r="D1327" i="3"/>
  <c r="E1327" i="3" s="1"/>
  <c r="D1325" i="3"/>
  <c r="E1325" i="3" s="1"/>
  <c r="D1318" i="3"/>
  <c r="E1318" i="3" s="1"/>
  <c r="D1317" i="3"/>
  <c r="E1317" i="3" s="1"/>
  <c r="D1316" i="3"/>
  <c r="C1316" i="3"/>
  <c r="D85" i="4" s="1"/>
  <c r="D1315" i="3"/>
  <c r="E1315" i="3" s="1"/>
  <c r="D1313" i="3"/>
  <c r="E1313" i="3" s="1"/>
  <c r="D1305" i="3"/>
  <c r="E1305" i="3" s="1"/>
  <c r="D1300" i="3"/>
  <c r="E1300" i="3" s="1"/>
  <c r="D1291" i="3"/>
  <c r="E1291" i="3" s="1"/>
  <c r="D1286" i="3"/>
  <c r="E1286" i="3" s="1"/>
  <c r="D1278" i="3"/>
  <c r="D1276" i="3" s="1"/>
  <c r="D1277" i="3"/>
  <c r="E1277" i="3" s="1"/>
  <c r="C1276" i="3"/>
  <c r="D1275" i="3"/>
  <c r="E1275" i="3" s="1"/>
  <c r="C1263" i="3"/>
  <c r="D1228" i="3"/>
  <c r="E1228" i="3" s="1"/>
  <c r="D1225" i="3"/>
  <c r="E1225" i="3" s="1"/>
  <c r="D1223" i="3"/>
  <c r="E1223" i="3" s="1"/>
  <c r="D1214" i="3"/>
  <c r="E1214" i="3" s="1"/>
  <c r="D1213" i="3"/>
  <c r="E1213" i="3" s="1"/>
  <c r="E1212" i="3" s="1"/>
  <c r="C1212" i="3"/>
  <c r="D1209" i="3"/>
  <c r="E1209" i="3" s="1"/>
  <c r="D1200" i="3"/>
  <c r="D1199" i="3"/>
  <c r="E1199" i="3" s="1"/>
  <c r="C1198" i="3"/>
  <c r="D78" i="4" s="1"/>
  <c r="D1197" i="3"/>
  <c r="E1197" i="3" s="1"/>
  <c r="D1195" i="3"/>
  <c r="E1195" i="3" s="1"/>
  <c r="D1188" i="3"/>
  <c r="E1188" i="3" s="1"/>
  <c r="D1187" i="3"/>
  <c r="D1186" i="3" s="1"/>
  <c r="C1186" i="3"/>
  <c r="D77" i="4" s="1"/>
  <c r="D1185" i="3"/>
  <c r="E1185" i="3" s="1"/>
  <c r="D1175" i="3"/>
  <c r="E1175" i="3" s="1"/>
  <c r="D1170" i="3"/>
  <c r="E1170" i="3" s="1"/>
  <c r="D1161" i="3"/>
  <c r="E1161" i="3" s="1"/>
  <c r="D1158" i="3"/>
  <c r="E1158" i="3" s="1"/>
  <c r="D1147" i="3"/>
  <c r="E1147" i="3" s="1"/>
  <c r="D1146" i="3"/>
  <c r="E1146" i="3" s="1"/>
  <c r="E1145" i="3" s="1"/>
  <c r="D1145" i="3"/>
  <c r="C1145" i="3"/>
  <c r="D74" i="4" s="1"/>
  <c r="D1142" i="3"/>
  <c r="E1142" i="3" s="1"/>
  <c r="D1133" i="3"/>
  <c r="E1133" i="3" s="1"/>
  <c r="D1130" i="3"/>
  <c r="E1130" i="3" s="1"/>
  <c r="D1128" i="3"/>
  <c r="E1128" i="3" s="1"/>
  <c r="D1119" i="3"/>
  <c r="E1119" i="3" s="1"/>
  <c r="D1116" i="3"/>
  <c r="E1116" i="3" s="1"/>
  <c r="D1105" i="3"/>
  <c r="E1105" i="3" s="1"/>
  <c r="D1104" i="3"/>
  <c r="C1103" i="3"/>
  <c r="D71" i="4" s="1"/>
  <c r="D1102" i="3"/>
  <c r="E1102" i="3" s="1"/>
  <c r="D1100" i="3"/>
  <c r="E1100" i="3" s="1"/>
  <c r="D1092" i="3"/>
  <c r="E1092" i="3" s="1"/>
  <c r="D1091" i="3"/>
  <c r="C1090" i="3"/>
  <c r="D70" i="4" s="1"/>
  <c r="D1089" i="3"/>
  <c r="E1089" i="3" s="1"/>
  <c r="D1087" i="3"/>
  <c r="E1087" i="3" s="1"/>
  <c r="D1078" i="3"/>
  <c r="D1077" i="3"/>
  <c r="D1076" i="3" s="1"/>
  <c r="C1076" i="3"/>
  <c r="D69" i="4" s="1"/>
  <c r="C1063" i="3"/>
  <c r="D1025" i="3"/>
  <c r="E1025" i="3" s="1"/>
  <c r="D1024" i="3"/>
  <c r="E1024" i="3" s="1"/>
  <c r="E1023" i="3" s="1"/>
  <c r="D1023" i="3"/>
  <c r="C1023" i="3"/>
  <c r="D67" i="4" s="1"/>
  <c r="D1020" i="3"/>
  <c r="E1020" i="3" s="1"/>
  <c r="D1013" i="3"/>
  <c r="E1013" i="3" s="1"/>
  <c r="D1012" i="3"/>
  <c r="E1012" i="3" s="1"/>
  <c r="E1011" i="3" s="1"/>
  <c r="D1011" i="3"/>
  <c r="C1011" i="3"/>
  <c r="D66" i="4" s="1"/>
  <c r="D1008" i="3"/>
  <c r="E1008" i="3" s="1"/>
  <c r="D1000" i="3"/>
  <c r="E1000" i="3" s="1"/>
  <c r="D997" i="3"/>
  <c r="E997" i="3" s="1"/>
  <c r="D995" i="3"/>
  <c r="E995" i="3" s="1"/>
  <c r="D988" i="3"/>
  <c r="E988" i="3" s="1"/>
  <c r="D983" i="3"/>
  <c r="E983" i="3" s="1"/>
  <c r="D974" i="3"/>
  <c r="E974" i="3" s="1"/>
  <c r="D973" i="3"/>
  <c r="D972" i="3" s="1"/>
  <c r="C972" i="3"/>
  <c r="D63" i="4" s="1"/>
  <c r="C960" i="3"/>
  <c r="D931" i="3"/>
  <c r="E931" i="3" s="1"/>
  <c r="D917" i="3"/>
  <c r="E917" i="3" s="1"/>
  <c r="D916" i="3"/>
  <c r="C915" i="3"/>
  <c r="D60" i="4" s="1"/>
  <c r="D914" i="3"/>
  <c r="E914" i="3" s="1"/>
  <c r="D912" i="3"/>
  <c r="E912" i="3" s="1"/>
  <c r="D905" i="3"/>
  <c r="E905" i="3" s="1"/>
  <c r="D904" i="3"/>
  <c r="C903" i="3"/>
  <c r="D59" i="4" s="1"/>
  <c r="D900" i="3"/>
  <c r="E900" i="3" s="1"/>
  <c r="D893" i="3"/>
  <c r="E893" i="3" s="1"/>
  <c r="D892" i="3"/>
  <c r="E892" i="3" s="1"/>
  <c r="E891" i="3" s="1"/>
  <c r="C891" i="3"/>
  <c r="D58" i="4" s="1"/>
  <c r="D890" i="3"/>
  <c r="E890" i="3" s="1"/>
  <c r="D888" i="3"/>
  <c r="E888" i="3" s="1"/>
  <c r="D881" i="3"/>
  <c r="E881" i="3" s="1"/>
  <c r="D880" i="3"/>
  <c r="E880" i="3" s="1"/>
  <c r="E879" i="3" s="1"/>
  <c r="C879" i="3"/>
  <c r="D57" i="4" s="1"/>
  <c r="D878" i="3"/>
  <c r="E878" i="3" s="1"/>
  <c r="D876" i="3"/>
  <c r="E876" i="3" s="1"/>
  <c r="D868" i="3"/>
  <c r="E868" i="3" s="1"/>
  <c r="D867" i="3"/>
  <c r="E867" i="3" s="1"/>
  <c r="E866" i="3" s="1"/>
  <c r="D866" i="3"/>
  <c r="C866" i="3"/>
  <c r="D56" i="4" s="1"/>
  <c r="D865" i="3"/>
  <c r="E865" i="3" s="1"/>
  <c r="D863" i="3"/>
  <c r="E863" i="3" s="1"/>
  <c r="D855" i="3"/>
  <c r="E855" i="3" s="1"/>
  <c r="D854" i="3"/>
  <c r="E854" i="3" s="1"/>
  <c r="E853" i="3" s="1"/>
  <c r="C853" i="3"/>
  <c r="D55" i="4" s="1"/>
  <c r="D852" i="3"/>
  <c r="E852" i="3" s="1"/>
  <c r="D850" i="3"/>
  <c r="E850" i="3" s="1"/>
  <c r="D842" i="3"/>
  <c r="E842" i="3" s="1"/>
  <c r="D839" i="3"/>
  <c r="E839" i="3" s="1"/>
  <c r="D837" i="3"/>
  <c r="E837" i="3" s="1"/>
  <c r="D829" i="3"/>
  <c r="E829" i="3" s="1"/>
  <c r="C814" i="3"/>
  <c r="C684" i="3" s="1"/>
  <c r="E813" i="3"/>
  <c r="D813" i="3"/>
  <c r="D812" i="3"/>
  <c r="E812" i="3" s="1"/>
  <c r="C811" i="3"/>
  <c r="D810" i="3"/>
  <c r="E810" i="3" s="1"/>
  <c r="D809" i="3"/>
  <c r="E809" i="3" s="1"/>
  <c r="D808" i="3"/>
  <c r="D807" i="3" s="1"/>
  <c r="C807" i="3"/>
  <c r="D799" i="3"/>
  <c r="E799" i="3" s="1"/>
  <c r="D798" i="3"/>
  <c r="E798" i="3" s="1"/>
  <c r="E797" i="3" s="1"/>
  <c r="C797" i="3"/>
  <c r="C800" i="3" s="1"/>
  <c r="D796" i="3"/>
  <c r="E796" i="3" s="1"/>
  <c r="D795" i="3"/>
  <c r="E795" i="3" s="1"/>
  <c r="D794" i="3"/>
  <c r="C793" i="3"/>
  <c r="D786" i="3"/>
  <c r="E786" i="3" s="1"/>
  <c r="C786" i="3"/>
  <c r="D782" i="3"/>
  <c r="E782" i="3" s="1"/>
  <c r="D781" i="3"/>
  <c r="E781" i="3" s="1"/>
  <c r="D774" i="3"/>
  <c r="E774" i="3" s="1"/>
  <c r="D773" i="3"/>
  <c r="C772" i="3"/>
  <c r="C775" i="3" s="1"/>
  <c r="C683" i="3" s="1"/>
  <c r="D771" i="3"/>
  <c r="E771" i="3" s="1"/>
  <c r="D770" i="3"/>
  <c r="E770" i="3" s="1"/>
  <c r="D769" i="3"/>
  <c r="C768" i="3"/>
  <c r="D761" i="3"/>
  <c r="E761" i="3" s="1"/>
  <c r="D760" i="3"/>
  <c r="E760" i="3" s="1"/>
  <c r="E759" i="3"/>
  <c r="D759" i="3"/>
  <c r="C759" i="3"/>
  <c r="D51" i="4" s="1"/>
  <c r="D758" i="3"/>
  <c r="E758" i="3" s="1"/>
  <c r="D756" i="3"/>
  <c r="E756" i="3" s="1"/>
  <c r="D748" i="3"/>
  <c r="E748" i="3" s="1"/>
  <c r="D745" i="3"/>
  <c r="E745" i="3" s="1"/>
  <c r="D735" i="3"/>
  <c r="E735" i="3" s="1"/>
  <c r="D734" i="3"/>
  <c r="E734" i="3" s="1"/>
  <c r="E733" i="3" s="1"/>
  <c r="D733" i="3"/>
  <c r="C733" i="3"/>
  <c r="D49" i="4" s="1"/>
  <c r="D732" i="3"/>
  <c r="E732" i="3" s="1"/>
  <c r="D730" i="3"/>
  <c r="E730" i="3" s="1"/>
  <c r="D722" i="3"/>
  <c r="E722" i="3" s="1"/>
  <c r="D721" i="3"/>
  <c r="E721" i="3" s="1"/>
  <c r="C707" i="3"/>
  <c r="D670" i="3"/>
  <c r="E670" i="3" s="1"/>
  <c r="D667" i="3"/>
  <c r="E667" i="3" s="1"/>
  <c r="D666" i="3"/>
  <c r="D665" i="3"/>
  <c r="E665" i="3" s="1"/>
  <c r="C664" i="3"/>
  <c r="D656" i="3"/>
  <c r="E656" i="3" s="1"/>
  <c r="D651" i="3"/>
  <c r="E651" i="3" s="1"/>
  <c r="D643" i="3"/>
  <c r="E643" i="3" s="1"/>
  <c r="D638" i="3"/>
  <c r="E638" i="3" s="1"/>
  <c r="D630" i="3"/>
  <c r="E630" i="3" s="1"/>
  <c r="D625" i="3"/>
  <c r="E625" i="3" s="1"/>
  <c r="D616" i="3"/>
  <c r="D615" i="3"/>
  <c r="E615" i="3" s="1"/>
  <c r="C614" i="3"/>
  <c r="D43" i="4" s="1"/>
  <c r="C601" i="3"/>
  <c r="D574" i="3"/>
  <c r="E574" i="3" s="1"/>
  <c r="E572" i="3" s="1"/>
  <c r="D573" i="3"/>
  <c r="E573" i="3" s="1"/>
  <c r="D572" i="3"/>
  <c r="C572" i="3"/>
  <c r="D41" i="4" s="1"/>
  <c r="D569" i="3"/>
  <c r="E569" i="3" s="1"/>
  <c r="D559" i="3"/>
  <c r="E559" i="3" s="1"/>
  <c r="D554" i="3"/>
  <c r="E554" i="3" s="1"/>
  <c r="D545" i="3"/>
  <c r="E545" i="3" s="1"/>
  <c r="D540" i="3"/>
  <c r="E540" i="3" s="1"/>
  <c r="D531" i="3"/>
  <c r="E531" i="3" s="1"/>
  <c r="E518" i="3" s="1"/>
  <c r="D530" i="3"/>
  <c r="E530" i="3" s="1"/>
  <c r="C529" i="3"/>
  <c r="D38" i="4" s="1"/>
  <c r="C518" i="3"/>
  <c r="D490" i="3"/>
  <c r="E490" i="3" s="1"/>
  <c r="D485" i="3"/>
  <c r="E485" i="3" s="1"/>
  <c r="D476" i="3"/>
  <c r="D471" i="3"/>
  <c r="E471" i="3" s="1"/>
  <c r="F463" i="3"/>
  <c r="D462" i="3"/>
  <c r="E462" i="3" s="1"/>
  <c r="D457" i="3"/>
  <c r="E457" i="3" s="1"/>
  <c r="D450" i="3"/>
  <c r="E450" i="3" s="1"/>
  <c r="D449" i="3"/>
  <c r="E449" i="3" s="1"/>
  <c r="E448" i="3" s="1"/>
  <c r="C448" i="3"/>
  <c r="D33" i="4" s="1"/>
  <c r="D445" i="3"/>
  <c r="E445" i="3" s="1"/>
  <c r="D436" i="3"/>
  <c r="E436" i="3" s="1"/>
  <c r="D435" i="3"/>
  <c r="E435" i="3" s="1"/>
  <c r="C434" i="3"/>
  <c r="D32" i="4" s="1"/>
  <c r="C418" i="3"/>
  <c r="D390" i="3"/>
  <c r="E390" i="3" s="1"/>
  <c r="D377" i="3"/>
  <c r="E377" i="3" s="1"/>
  <c r="D376" i="3"/>
  <c r="E376" i="3" s="1"/>
  <c r="D375" i="3"/>
  <c r="C375" i="3"/>
  <c r="D29" i="4" s="1"/>
  <c r="D364" i="3"/>
  <c r="E364" i="3" s="1"/>
  <c r="D351" i="3"/>
  <c r="E351" i="3" s="1"/>
  <c r="D338" i="3"/>
  <c r="E338" i="3" s="1"/>
  <c r="D325" i="3"/>
  <c r="D324" i="3"/>
  <c r="E324" i="3" s="1"/>
  <c r="C323" i="3"/>
  <c r="D25" i="4" s="1"/>
  <c r="C311" i="3"/>
  <c r="D282" i="3"/>
  <c r="E282" i="3" s="1"/>
  <c r="D281" i="3"/>
  <c r="C280" i="3"/>
  <c r="D22" i="4" s="1"/>
  <c r="D279" i="3"/>
  <c r="E279" i="3" s="1"/>
  <c r="D277" i="3"/>
  <c r="E277" i="3" s="1"/>
  <c r="D269" i="3"/>
  <c r="E269" i="3" s="1"/>
  <c r="D264" i="3"/>
  <c r="E264" i="3" s="1"/>
  <c r="C264" i="3"/>
  <c r="D256" i="3"/>
  <c r="D255" i="3"/>
  <c r="E255" i="3" s="1"/>
  <c r="C254" i="3"/>
  <c r="D20" i="4" s="1"/>
  <c r="D251" i="3"/>
  <c r="E251" i="3" s="1"/>
  <c r="D243" i="3"/>
  <c r="E243" i="3" s="1"/>
  <c r="D242" i="3"/>
  <c r="E242" i="3" s="1"/>
  <c r="E241" i="3" s="1"/>
  <c r="C241" i="3"/>
  <c r="D19" i="4" s="1"/>
  <c r="D238" i="3"/>
  <c r="E238" i="3" s="1"/>
  <c r="D230" i="3"/>
  <c r="E230" i="3" s="1"/>
  <c r="D229" i="3"/>
  <c r="E229" i="3" s="1"/>
  <c r="E228" i="3" s="1"/>
  <c r="D228" i="3"/>
  <c r="C228" i="3"/>
  <c r="D18" i="4" s="1"/>
  <c r="D225" i="3"/>
  <c r="E225" i="3" s="1"/>
  <c r="D217" i="3"/>
  <c r="E217" i="3" s="1"/>
  <c r="D216" i="3"/>
  <c r="E216" i="3" s="1"/>
  <c r="D215" i="3"/>
  <c r="C215" i="3"/>
  <c r="D17" i="4" s="1"/>
  <c r="D212" i="3"/>
  <c r="E212" i="3" s="1"/>
  <c r="D203" i="3"/>
  <c r="E203" i="3" s="1"/>
  <c r="D202" i="3"/>
  <c r="C201" i="3"/>
  <c r="D198" i="3"/>
  <c r="E198" i="3" s="1"/>
  <c r="D189" i="3"/>
  <c r="E189" i="3" s="1"/>
  <c r="D188" i="3"/>
  <c r="E188" i="3" s="1"/>
  <c r="E187" i="3" s="1"/>
  <c r="D187" i="3"/>
  <c r="C187" i="3"/>
  <c r="D15" i="4" s="1"/>
  <c r="D184" i="3"/>
  <c r="E184" i="3" s="1"/>
  <c r="D175" i="3"/>
  <c r="E175" i="3" s="1"/>
  <c r="D174" i="3"/>
  <c r="D173" i="3" s="1"/>
  <c r="C173" i="3"/>
  <c r="D14" i="4" s="1"/>
  <c r="D170" i="3"/>
  <c r="E170" i="3" s="1"/>
  <c r="D161" i="3"/>
  <c r="E161" i="3" s="1"/>
  <c r="D160" i="3"/>
  <c r="C159" i="3"/>
  <c r="D23" i="4" s="1"/>
  <c r="D156" i="3"/>
  <c r="E156" i="3" s="1"/>
  <c r="D147" i="3"/>
  <c r="E147" i="3" s="1"/>
  <c r="D146" i="3"/>
  <c r="E146" i="3" s="1"/>
  <c r="E145" i="3" s="1"/>
  <c r="C145" i="3"/>
  <c r="D13" i="4" s="1"/>
  <c r="D142" i="3"/>
  <c r="E142" i="3" s="1"/>
  <c r="D133" i="3"/>
  <c r="E133" i="3" s="1"/>
  <c r="D132" i="3"/>
  <c r="E132" i="3" s="1"/>
  <c r="E131" i="3"/>
  <c r="C131" i="3"/>
  <c r="D12" i="4" s="1"/>
  <c r="D128" i="3"/>
  <c r="E128" i="3" s="1"/>
  <c r="D120" i="3"/>
  <c r="D119" i="3"/>
  <c r="E119" i="3" s="1"/>
  <c r="C118" i="3"/>
  <c r="D11" i="4" s="1"/>
  <c r="D115" i="3"/>
  <c r="E115" i="3" s="1"/>
  <c r="D107" i="3"/>
  <c r="D106" i="3"/>
  <c r="E106" i="3" s="1"/>
  <c r="C105" i="3"/>
  <c r="C108" i="3" s="1"/>
  <c r="C13" i="3" s="1"/>
  <c r="C14" i="3" s="1"/>
  <c r="D104" i="3"/>
  <c r="E104" i="3" s="1"/>
  <c r="D103" i="3"/>
  <c r="E103" i="3" s="1"/>
  <c r="D102" i="3"/>
  <c r="E102" i="3" s="1"/>
  <c r="C101" i="3"/>
  <c r="C10" i="4" s="1"/>
  <c r="D93" i="3"/>
  <c r="D92" i="3"/>
  <c r="E92" i="3" s="1"/>
  <c r="C91" i="3"/>
  <c r="D9" i="4" s="1"/>
  <c r="D88" i="3"/>
  <c r="E88" i="3" s="1"/>
  <c r="D79" i="3"/>
  <c r="E79" i="3" s="1"/>
  <c r="D78" i="3"/>
  <c r="E78" i="3" s="1"/>
  <c r="D77" i="3"/>
  <c r="C77" i="3"/>
  <c r="D8" i="4" s="1"/>
  <c r="D74" i="3"/>
  <c r="E74" i="3" s="1"/>
  <c r="D65" i="3"/>
  <c r="E65" i="3" s="1"/>
  <c r="C51" i="3"/>
  <c r="E4767" i="91"/>
  <c r="F4767" i="91" s="1"/>
  <c r="G4767" i="91" s="1"/>
  <c r="G4774" i="91" s="1"/>
  <c r="F4766" i="91"/>
  <c r="G4766" i="91" s="1"/>
  <c r="F4765" i="91"/>
  <c r="G4765" i="91" s="1"/>
  <c r="F4756" i="91"/>
  <c r="G4756" i="91" s="1"/>
  <c r="E4755" i="91"/>
  <c r="C2106" i="3" s="1"/>
  <c r="F4754" i="91"/>
  <c r="G4754" i="91" s="1"/>
  <c r="E4753" i="91"/>
  <c r="F4752" i="91"/>
  <c r="G4752" i="91" s="1"/>
  <c r="E4751" i="91"/>
  <c r="F4750" i="91"/>
  <c r="G4750" i="91" s="1"/>
  <c r="E4749" i="91"/>
  <c r="F4748" i="91"/>
  <c r="G4748" i="91" s="1"/>
  <c r="E4747" i="91"/>
  <c r="F4746" i="91"/>
  <c r="G4746" i="91" s="1"/>
  <c r="F4745" i="91"/>
  <c r="G4745" i="91" s="1"/>
  <c r="E4744" i="91"/>
  <c r="F4743" i="91"/>
  <c r="G4743" i="91" s="1"/>
  <c r="F4742" i="91"/>
  <c r="G4742" i="91" s="1"/>
  <c r="F4741" i="91"/>
  <c r="G4741" i="91" s="1"/>
  <c r="F4740" i="91"/>
  <c r="G4740" i="91" s="1"/>
  <c r="F4739" i="91"/>
  <c r="G4739" i="91" s="1"/>
  <c r="F4738" i="91"/>
  <c r="G4738" i="91" s="1"/>
  <c r="F4737" i="91"/>
  <c r="G4737" i="91" s="1"/>
  <c r="E4736" i="91"/>
  <c r="F4735" i="91"/>
  <c r="G4735" i="91" s="1"/>
  <c r="F4734" i="91"/>
  <c r="G4734" i="91" s="1"/>
  <c r="F4733" i="91"/>
  <c r="G4733" i="91" s="1"/>
  <c r="E4732" i="91"/>
  <c r="F4731" i="91"/>
  <c r="G4731" i="91" s="1"/>
  <c r="F4730" i="91"/>
  <c r="G4730" i="91" s="1"/>
  <c r="F4729" i="91"/>
  <c r="G4729" i="91" s="1"/>
  <c r="E4728" i="91"/>
  <c r="F4727" i="91"/>
  <c r="G4727" i="91" s="1"/>
  <c r="F4726" i="91"/>
  <c r="G4726" i="91" s="1"/>
  <c r="F4725" i="91"/>
  <c r="G4725" i="91" s="1"/>
  <c r="E4724" i="91"/>
  <c r="F4723" i="91"/>
  <c r="G4723" i="91" s="1"/>
  <c r="F4722" i="91"/>
  <c r="G4722" i="91" s="1"/>
  <c r="F4721" i="91"/>
  <c r="G4721" i="91" s="1"/>
  <c r="F4719" i="91"/>
  <c r="G4719" i="91" s="1"/>
  <c r="F4718" i="91"/>
  <c r="G4718" i="91" s="1"/>
  <c r="E4717" i="91"/>
  <c r="C2093" i="3" s="1"/>
  <c r="F4716" i="91"/>
  <c r="G4716" i="91" s="1"/>
  <c r="E4715" i="91"/>
  <c r="F4714" i="91"/>
  <c r="G4714" i="91" s="1"/>
  <c r="F4713" i="91"/>
  <c r="G4713" i="91" s="1"/>
  <c r="E4712" i="91"/>
  <c r="F4711" i="91"/>
  <c r="G4711" i="91" s="1"/>
  <c r="E4710" i="91"/>
  <c r="F4709" i="91"/>
  <c r="G4709" i="91" s="1"/>
  <c r="F4708" i="91"/>
  <c r="G4708" i="91" s="1"/>
  <c r="F4707" i="91"/>
  <c r="G4707" i="91" s="1"/>
  <c r="E4706" i="91"/>
  <c r="F4705" i="91"/>
  <c r="G4705" i="91" s="1"/>
  <c r="F4704" i="91"/>
  <c r="G4704" i="91" s="1"/>
  <c r="E4703" i="91"/>
  <c r="F4702" i="91"/>
  <c r="G4702" i="91" s="1"/>
  <c r="F4701" i="91"/>
  <c r="G4701" i="91" s="1"/>
  <c r="F4700" i="91"/>
  <c r="G4700" i="91" s="1"/>
  <c r="F4699" i="91"/>
  <c r="G4699" i="91" s="1"/>
  <c r="F4698" i="91"/>
  <c r="G4698" i="91" s="1"/>
  <c r="F4697" i="91"/>
  <c r="G4697" i="91" s="1"/>
  <c r="E4696" i="91"/>
  <c r="F4695" i="91"/>
  <c r="G4695" i="91" s="1"/>
  <c r="F4694" i="91"/>
  <c r="G4694" i="91" s="1"/>
  <c r="F4693" i="91"/>
  <c r="G4693" i="91" s="1"/>
  <c r="E4692" i="91"/>
  <c r="F4691" i="91"/>
  <c r="G4691" i="91" s="1"/>
  <c r="F4690" i="91"/>
  <c r="G4690" i="91" s="1"/>
  <c r="F4689" i="91"/>
  <c r="G4689" i="91" s="1"/>
  <c r="E4688" i="91"/>
  <c r="F4687" i="91"/>
  <c r="G4687" i="91" s="1"/>
  <c r="F4686" i="91"/>
  <c r="G4686" i="91" s="1"/>
  <c r="E4685" i="91"/>
  <c r="F4684" i="91"/>
  <c r="G4684" i="91" s="1"/>
  <c r="F4683" i="91"/>
  <c r="G4683" i="91" s="1"/>
  <c r="E4682" i="91"/>
  <c r="F4681" i="91"/>
  <c r="G4681" i="91" s="1"/>
  <c r="F4680" i="91"/>
  <c r="G4680" i="91" s="1"/>
  <c r="F4679" i="91"/>
  <c r="G4679" i="91" s="1"/>
  <c r="F4677" i="91"/>
  <c r="G4677" i="91" s="1"/>
  <c r="F4676" i="91"/>
  <c r="G4676" i="91" s="1"/>
  <c r="F4675" i="91"/>
  <c r="G4675" i="91" s="1"/>
  <c r="E4674" i="91"/>
  <c r="C2080" i="3" s="1"/>
  <c r="F4673" i="91"/>
  <c r="G4673" i="91" s="1"/>
  <c r="E4672" i="91"/>
  <c r="F4671" i="91"/>
  <c r="G4671" i="91" s="1"/>
  <c r="E4670" i="91"/>
  <c r="F4669" i="91"/>
  <c r="G4669" i="91" s="1"/>
  <c r="F4668" i="91"/>
  <c r="G4668" i="91" s="1"/>
  <c r="E4667" i="91"/>
  <c r="F4666" i="91"/>
  <c r="G4666" i="91" s="1"/>
  <c r="E4665" i="91"/>
  <c r="F4664" i="91"/>
  <c r="G4664" i="91" s="1"/>
  <c r="F4663" i="91"/>
  <c r="G4663" i="91" s="1"/>
  <c r="F4662" i="91"/>
  <c r="G4662" i="91" s="1"/>
  <c r="E4661" i="91"/>
  <c r="F4660" i="91"/>
  <c r="G4660" i="91" s="1"/>
  <c r="F4659" i="91"/>
  <c r="G4659" i="91" s="1"/>
  <c r="E4658" i="91"/>
  <c r="F4657" i="91"/>
  <c r="G4657" i="91" s="1"/>
  <c r="F4656" i="91"/>
  <c r="G4656" i="91" s="1"/>
  <c r="F4655" i="91"/>
  <c r="G4655" i="91" s="1"/>
  <c r="F4654" i="91"/>
  <c r="G4654" i="91" s="1"/>
  <c r="F4653" i="91"/>
  <c r="G4653" i="91" s="1"/>
  <c r="F4652" i="91"/>
  <c r="G4652" i="91" s="1"/>
  <c r="E4651" i="91"/>
  <c r="F4650" i="91"/>
  <c r="G4650" i="91" s="1"/>
  <c r="F4649" i="91"/>
  <c r="G4649" i="91" s="1"/>
  <c r="F4648" i="91"/>
  <c r="G4648" i="91" s="1"/>
  <c r="E4647" i="91"/>
  <c r="F4646" i="91"/>
  <c r="G4646" i="91" s="1"/>
  <c r="F4645" i="91"/>
  <c r="G4645" i="91" s="1"/>
  <c r="F4644" i="91"/>
  <c r="G4644" i="91" s="1"/>
  <c r="E4643" i="91"/>
  <c r="F4642" i="91"/>
  <c r="G4642" i="91" s="1"/>
  <c r="E4641" i="91"/>
  <c r="F4640" i="91"/>
  <c r="G4640" i="91" s="1"/>
  <c r="F4639" i="91"/>
  <c r="G4639" i="91" s="1"/>
  <c r="F4638" i="91"/>
  <c r="G4638" i="91" s="1"/>
  <c r="F4635" i="91"/>
  <c r="G4635" i="91" s="1"/>
  <c r="E4634" i="91"/>
  <c r="F4633" i="91"/>
  <c r="G4633" i="91" s="1"/>
  <c r="F4632" i="91"/>
  <c r="G4632" i="91" s="1"/>
  <c r="F4629" i="91"/>
  <c r="G4629" i="91" s="1"/>
  <c r="F4628" i="91"/>
  <c r="G4628" i="91" s="1"/>
  <c r="E4627" i="91"/>
  <c r="F4626" i="91"/>
  <c r="G4626" i="91" s="1"/>
  <c r="E4625" i="91"/>
  <c r="F4624" i="91"/>
  <c r="G4624" i="91" s="1"/>
  <c r="F4623" i="91"/>
  <c r="G4623" i="91" s="1"/>
  <c r="E4622" i="91"/>
  <c r="F4621" i="91"/>
  <c r="G4621" i="91" s="1"/>
  <c r="E4620" i="91"/>
  <c r="F4619" i="91"/>
  <c r="G4619" i="91" s="1"/>
  <c r="F4618" i="91"/>
  <c r="G4618" i="91" s="1"/>
  <c r="F4617" i="91"/>
  <c r="G4617" i="91" s="1"/>
  <c r="E4616" i="91"/>
  <c r="F4615" i="91"/>
  <c r="G4615" i="91" s="1"/>
  <c r="F4614" i="91"/>
  <c r="G4614" i="91" s="1"/>
  <c r="E4613" i="91"/>
  <c r="F4612" i="91"/>
  <c r="G4612" i="91" s="1"/>
  <c r="F4611" i="91"/>
  <c r="G4611" i="91" s="1"/>
  <c r="F4610" i="91"/>
  <c r="G4610" i="91" s="1"/>
  <c r="F4609" i="91"/>
  <c r="G4609" i="91" s="1"/>
  <c r="F4608" i="91"/>
  <c r="G4608" i="91" s="1"/>
  <c r="E4607" i="91"/>
  <c r="F4606" i="91"/>
  <c r="G4606" i="91" s="1"/>
  <c r="F4605" i="91"/>
  <c r="G4605" i="91" s="1"/>
  <c r="F4604" i="91"/>
  <c r="G4604" i="91" s="1"/>
  <c r="E4603" i="91"/>
  <c r="F4602" i="91"/>
  <c r="G4602" i="91" s="1"/>
  <c r="F4601" i="91"/>
  <c r="G4601" i="91" s="1"/>
  <c r="F4600" i="91"/>
  <c r="G4600" i="91" s="1"/>
  <c r="E4599" i="91"/>
  <c r="F4598" i="91"/>
  <c r="G4598" i="91" s="1"/>
  <c r="F4597" i="91"/>
  <c r="G4597" i="91" s="1"/>
  <c r="F4596" i="91"/>
  <c r="G4596" i="91" s="1"/>
  <c r="E4595" i="91"/>
  <c r="F4594" i="91"/>
  <c r="G4594" i="91" s="1"/>
  <c r="F4593" i="91"/>
  <c r="G4593" i="91" s="1"/>
  <c r="F4592" i="91"/>
  <c r="G4592" i="91" s="1"/>
  <c r="E4591" i="91"/>
  <c r="F4590" i="91"/>
  <c r="G4590" i="91" s="1"/>
  <c r="F4589" i="91"/>
  <c r="G4589" i="91" s="1"/>
  <c r="E4588" i="91"/>
  <c r="F4587" i="91"/>
  <c r="G4587" i="91" s="1"/>
  <c r="E4586" i="91"/>
  <c r="F4585" i="91"/>
  <c r="G4585" i="91" s="1"/>
  <c r="F4584" i="91"/>
  <c r="G4584" i="91" s="1"/>
  <c r="F4574" i="91"/>
  <c r="G4574" i="91" s="1"/>
  <c r="E4573" i="91"/>
  <c r="F4573" i="91" s="1"/>
  <c r="G4573" i="91" s="1"/>
  <c r="F4572" i="91"/>
  <c r="G4572" i="91" s="1"/>
  <c r="E4571" i="91"/>
  <c r="F4570" i="91"/>
  <c r="G4570" i="91" s="1"/>
  <c r="F4569" i="91"/>
  <c r="G4569" i="91" s="1"/>
  <c r="F4566" i="91"/>
  <c r="G4566" i="91" s="1"/>
  <c r="F4565" i="91"/>
  <c r="G4565" i="91" s="1"/>
  <c r="F4564" i="91"/>
  <c r="G4564" i="91" s="1"/>
  <c r="E4563" i="91"/>
  <c r="F4562" i="91"/>
  <c r="G4562" i="91" s="1"/>
  <c r="E4561" i="91"/>
  <c r="F4561" i="91" s="1"/>
  <c r="G4561" i="91" s="1"/>
  <c r="F4560" i="91"/>
  <c r="G4560" i="91" s="1"/>
  <c r="F4559" i="91"/>
  <c r="G4559" i="91" s="1"/>
  <c r="F4558" i="91"/>
  <c r="G4558" i="91" s="1"/>
  <c r="E4557" i="91"/>
  <c r="F4557" i="91" s="1"/>
  <c r="G4557" i="91" s="1"/>
  <c r="F4556" i="91"/>
  <c r="G4556" i="91" s="1"/>
  <c r="F4555" i="91"/>
  <c r="G4555" i="91" s="1"/>
  <c r="E4554" i="91"/>
  <c r="F4554" i="91" s="1"/>
  <c r="G4554" i="91" s="1"/>
  <c r="F4553" i="91"/>
  <c r="G4553" i="91" s="1"/>
  <c r="F4552" i="91"/>
  <c r="G4552" i="91" s="1"/>
  <c r="F4551" i="91"/>
  <c r="G4551" i="91" s="1"/>
  <c r="F4548" i="91"/>
  <c r="G4548" i="91" s="1"/>
  <c r="F4547" i="91"/>
  <c r="G4547" i="91" s="1"/>
  <c r="E4546" i="91"/>
  <c r="F4545" i="91"/>
  <c r="G4545" i="91" s="1"/>
  <c r="F4544" i="91"/>
  <c r="G4544" i="91" s="1"/>
  <c r="F4541" i="91"/>
  <c r="G4541" i="91" s="1"/>
  <c r="E4540" i="91"/>
  <c r="F4540" i="91" s="1"/>
  <c r="G4540" i="91" s="1"/>
  <c r="F4539" i="91"/>
  <c r="G4539" i="91" s="1"/>
  <c r="E4538" i="91"/>
  <c r="F4538" i="91" s="1"/>
  <c r="G4538" i="91" s="1"/>
  <c r="F4537" i="91"/>
  <c r="G4537" i="91" s="1"/>
  <c r="F4536" i="91"/>
  <c r="G4536" i="91" s="1"/>
  <c r="E4535" i="91"/>
  <c r="F4535" i="91" s="1"/>
  <c r="G4535" i="91" s="1"/>
  <c r="F4534" i="91"/>
  <c r="G4534" i="91" s="1"/>
  <c r="F4533" i="91"/>
  <c r="G4533" i="91" s="1"/>
  <c r="F4532" i="91"/>
  <c r="G4532" i="91" s="1"/>
  <c r="E4531" i="91"/>
  <c r="F4531" i="91" s="1"/>
  <c r="G4531" i="91" s="1"/>
  <c r="F4530" i="91"/>
  <c r="G4530" i="91" s="1"/>
  <c r="F4529" i="91"/>
  <c r="G4529" i="91" s="1"/>
  <c r="F4528" i="91"/>
  <c r="G4528" i="91" s="1"/>
  <c r="E4527" i="91"/>
  <c r="F4527" i="91" s="1"/>
  <c r="G4527" i="91" s="1"/>
  <c r="F4526" i="91"/>
  <c r="G4526" i="91" s="1"/>
  <c r="F4525" i="91"/>
  <c r="G4525" i="91" s="1"/>
  <c r="F4524" i="91"/>
  <c r="G4524" i="91" s="1"/>
  <c r="F4521" i="91"/>
  <c r="G4521" i="91" s="1"/>
  <c r="E4520" i="91"/>
  <c r="E4522" i="91" s="1"/>
  <c r="F4519" i="91"/>
  <c r="G4519" i="91" s="1"/>
  <c r="F4518" i="91"/>
  <c r="G4518" i="91" s="1"/>
  <c r="F4515" i="91"/>
  <c r="G4515" i="91" s="1"/>
  <c r="F4514" i="91"/>
  <c r="G4514" i="91" s="1"/>
  <c r="F4513" i="91"/>
  <c r="G4513" i="91" s="1"/>
  <c r="E4512" i="91"/>
  <c r="F4511" i="91"/>
  <c r="G4511" i="91" s="1"/>
  <c r="F4510" i="91"/>
  <c r="G4510" i="91" s="1"/>
  <c r="F4507" i="91"/>
  <c r="G4507" i="91" s="1"/>
  <c r="E4506" i="91"/>
  <c r="E4508" i="91" s="1"/>
  <c r="F4505" i="91"/>
  <c r="G4505" i="91" s="1"/>
  <c r="F4504" i="91"/>
  <c r="G4504" i="91" s="1"/>
  <c r="F4501" i="91"/>
  <c r="G4501" i="91" s="1"/>
  <c r="E4500" i="91"/>
  <c r="F4500" i="91" s="1"/>
  <c r="G4500" i="91" s="1"/>
  <c r="F4499" i="91"/>
  <c r="G4499" i="91" s="1"/>
  <c r="F4498" i="91"/>
  <c r="G4498" i="91" s="1"/>
  <c r="E4497" i="91"/>
  <c r="F4496" i="91"/>
  <c r="G4496" i="91" s="1"/>
  <c r="F4495" i="91"/>
  <c r="G4495" i="91" s="1"/>
  <c r="F4494" i="91"/>
  <c r="G4494" i="91" s="1"/>
  <c r="E4493" i="91"/>
  <c r="F4493" i="91" s="1"/>
  <c r="G4493" i="91" s="1"/>
  <c r="F4492" i="91"/>
  <c r="G4492" i="91" s="1"/>
  <c r="F4491" i="91"/>
  <c r="G4491" i="91" s="1"/>
  <c r="F4488" i="91"/>
  <c r="G4488" i="91" s="1"/>
  <c r="F4487" i="91"/>
  <c r="G4487" i="91" s="1"/>
  <c r="E4486" i="91"/>
  <c r="F4486" i="91" s="1"/>
  <c r="G4486" i="91" s="1"/>
  <c r="F4485" i="91"/>
  <c r="G4485" i="91" s="1"/>
  <c r="E4484" i="91"/>
  <c r="F4483" i="91"/>
  <c r="G4483" i="91" s="1"/>
  <c r="F4482" i="91"/>
  <c r="G4482" i="91" s="1"/>
  <c r="F4479" i="91"/>
  <c r="G4479" i="91" s="1"/>
  <c r="E4478" i="91"/>
  <c r="F4478" i="91" s="1"/>
  <c r="G4478" i="91" s="1"/>
  <c r="F4477" i="91"/>
  <c r="G4477" i="91" s="1"/>
  <c r="E4476" i="91"/>
  <c r="F4475" i="91"/>
  <c r="G4475" i="91" s="1"/>
  <c r="E4474" i="91"/>
  <c r="F4474" i="91" s="1"/>
  <c r="G4474" i="91" s="1"/>
  <c r="F4473" i="91"/>
  <c r="G4473" i="91" s="1"/>
  <c r="E4472" i="91"/>
  <c r="F4472" i="91" s="1"/>
  <c r="G4472" i="91" s="1"/>
  <c r="F4471" i="91"/>
  <c r="G4471" i="91" s="1"/>
  <c r="F4470" i="91"/>
  <c r="G4470" i="91" s="1"/>
  <c r="E4469" i="91"/>
  <c r="F4469" i="91" s="1"/>
  <c r="G4469" i="91" s="1"/>
  <c r="F4468" i="91"/>
  <c r="G4468" i="91" s="1"/>
  <c r="F4467" i="91"/>
  <c r="G4467" i="91" s="1"/>
  <c r="F4466" i="91"/>
  <c r="G4466" i="91" s="1"/>
  <c r="F4465" i="91"/>
  <c r="G4465" i="91" s="1"/>
  <c r="F4464" i="91"/>
  <c r="G4464" i="91" s="1"/>
  <c r="E4463" i="91"/>
  <c r="F4463" i="91" s="1"/>
  <c r="G4463" i="91" s="1"/>
  <c r="F4462" i="91"/>
  <c r="G4462" i="91" s="1"/>
  <c r="F4461" i="91"/>
  <c r="G4461" i="91" s="1"/>
  <c r="F4460" i="91"/>
  <c r="G4460" i="91" s="1"/>
  <c r="E4459" i="91"/>
  <c r="F4459" i="91" s="1"/>
  <c r="G4459" i="91" s="1"/>
  <c r="F4457" i="91"/>
  <c r="G4457" i="91" s="1"/>
  <c r="F4456" i="91"/>
  <c r="G4456" i="91" s="1"/>
  <c r="E4455" i="91"/>
  <c r="F4455" i="91" s="1"/>
  <c r="G4455" i="91" s="1"/>
  <c r="F4454" i="91"/>
  <c r="G4454" i="91" s="1"/>
  <c r="F4453" i="91"/>
  <c r="G4453" i="91" s="1"/>
  <c r="E4452" i="91"/>
  <c r="F4451" i="91"/>
  <c r="G4451" i="91" s="1"/>
  <c r="E4450" i="91"/>
  <c r="F4450" i="91" s="1"/>
  <c r="G4450" i="91" s="1"/>
  <c r="F4449" i="91"/>
  <c r="G4449" i="91" s="1"/>
  <c r="F4448" i="91"/>
  <c r="G4448" i="91" s="1"/>
  <c r="F4447" i="91"/>
  <c r="G4447" i="91" s="1"/>
  <c r="F4444" i="91"/>
  <c r="G4444" i="91" s="1"/>
  <c r="E4443" i="91"/>
  <c r="F4443" i="91" s="1"/>
  <c r="G4443" i="91" s="1"/>
  <c r="F4442" i="91"/>
  <c r="G4442" i="91" s="1"/>
  <c r="F4441" i="91"/>
  <c r="G4441" i="91" s="1"/>
  <c r="E4440" i="91"/>
  <c r="F4439" i="91"/>
  <c r="G4439" i="91" s="1"/>
  <c r="F4438" i="91"/>
  <c r="G4438" i="91" s="1"/>
  <c r="F4435" i="91"/>
  <c r="G4435" i="91" s="1"/>
  <c r="E4434" i="91"/>
  <c r="F4434" i="91" s="1"/>
  <c r="G4434" i="91" s="1"/>
  <c r="F4433" i="91"/>
  <c r="G4433" i="91" s="1"/>
  <c r="E4432" i="91"/>
  <c r="F4432" i="91" s="1"/>
  <c r="G4432" i="91" s="1"/>
  <c r="F4431" i="91"/>
  <c r="G4431" i="91" s="1"/>
  <c r="F4430" i="91"/>
  <c r="G4430" i="91" s="1"/>
  <c r="E4429" i="91"/>
  <c r="F4429" i="91" s="1"/>
  <c r="G4429" i="91" s="1"/>
  <c r="F4428" i="91"/>
  <c r="G4428" i="91" s="1"/>
  <c r="F4427" i="91"/>
  <c r="G4427" i="91" s="1"/>
  <c r="F4426" i="91"/>
  <c r="G4426" i="91" s="1"/>
  <c r="F4425" i="91"/>
  <c r="G4425" i="91" s="1"/>
  <c r="E4424" i="91"/>
  <c r="F4424" i="91" s="1"/>
  <c r="G4424" i="91" s="1"/>
  <c r="F4423" i="91"/>
  <c r="G4423" i="91" s="1"/>
  <c r="E4422" i="91"/>
  <c r="F4422" i="91" s="1"/>
  <c r="G4422" i="91" s="1"/>
  <c r="F4421" i="91"/>
  <c r="G4421" i="91" s="1"/>
  <c r="F4420" i="91"/>
  <c r="G4420" i="91" s="1"/>
  <c r="F4419" i="91"/>
  <c r="G4419" i="91" s="1"/>
  <c r="E4418" i="91"/>
  <c r="F4418" i="91" s="1"/>
  <c r="G4418" i="91" s="1"/>
  <c r="F4417" i="91"/>
  <c r="G4417" i="91" s="1"/>
  <c r="F4416" i="91"/>
  <c r="G4416" i="91" s="1"/>
  <c r="E4415" i="91"/>
  <c r="F4415" i="91" s="1"/>
  <c r="G4415" i="91" s="1"/>
  <c r="F4413" i="91"/>
  <c r="G4413" i="91" s="1"/>
  <c r="F4412" i="91"/>
  <c r="G4412" i="91" s="1"/>
  <c r="E4411" i="91"/>
  <c r="F4410" i="91"/>
  <c r="G4410" i="91" s="1"/>
  <c r="F4409" i="91"/>
  <c r="G4409" i="91" s="1"/>
  <c r="E4408" i="91"/>
  <c r="F4408" i="91" s="1"/>
  <c r="G4408" i="91" s="1"/>
  <c r="F4407" i="91"/>
  <c r="G4407" i="91" s="1"/>
  <c r="E4406" i="91"/>
  <c r="F4406" i="91" s="1"/>
  <c r="G4406" i="91" s="1"/>
  <c r="F4405" i="91"/>
  <c r="G4405" i="91" s="1"/>
  <c r="F4404" i="91"/>
  <c r="G4404" i="91" s="1"/>
  <c r="F4403" i="91"/>
  <c r="G4403" i="91" s="1"/>
  <c r="F4400" i="91"/>
  <c r="G4400" i="91" s="1"/>
  <c r="E4399" i="91"/>
  <c r="F4399" i="91" s="1"/>
  <c r="G4399" i="91" s="1"/>
  <c r="F4398" i="91"/>
  <c r="G4398" i="91" s="1"/>
  <c r="F4397" i="91"/>
  <c r="G4397" i="91" s="1"/>
  <c r="F4394" i="91"/>
  <c r="G4394" i="91" s="1"/>
  <c r="E4393" i="91"/>
  <c r="F4393" i="91" s="1"/>
  <c r="G4393" i="91" s="1"/>
  <c r="F4392" i="91"/>
  <c r="G4392" i="91" s="1"/>
  <c r="F4391" i="91"/>
  <c r="G4391" i="91" s="1"/>
  <c r="E4390" i="91"/>
  <c r="F4389" i="91"/>
  <c r="G4389" i="91" s="1"/>
  <c r="E4388" i="91"/>
  <c r="F4388" i="91" s="1"/>
  <c r="G4388" i="91" s="1"/>
  <c r="F4387" i="91"/>
  <c r="G4387" i="91" s="1"/>
  <c r="F4386" i="91"/>
  <c r="G4386" i="91" s="1"/>
  <c r="F4385" i="91"/>
  <c r="G4385" i="91" s="1"/>
  <c r="E4384" i="91"/>
  <c r="F4384" i="91" s="1"/>
  <c r="G4384" i="91" s="1"/>
  <c r="F4383" i="91"/>
  <c r="G4383" i="91" s="1"/>
  <c r="F4382" i="91"/>
  <c r="G4382" i="91" s="1"/>
  <c r="E4381" i="91"/>
  <c r="F4381" i="91" s="1"/>
  <c r="G4381" i="91" s="1"/>
  <c r="F4380" i="91"/>
  <c r="G4380" i="91" s="1"/>
  <c r="F4379" i="91"/>
  <c r="G4379" i="91" s="1"/>
  <c r="E4378" i="91"/>
  <c r="F4378" i="91" s="1"/>
  <c r="G4378" i="91" s="1"/>
  <c r="F4377" i="91"/>
  <c r="G4377" i="91" s="1"/>
  <c r="F4376" i="91"/>
  <c r="G4376" i="91" s="1"/>
  <c r="F4375" i="91"/>
  <c r="G4375" i="91" s="1"/>
  <c r="E4374" i="91"/>
  <c r="F4374" i="91" s="1"/>
  <c r="G4374" i="91" s="1"/>
  <c r="F4373" i="91"/>
  <c r="G4373" i="91" s="1"/>
  <c r="F4372" i="91"/>
  <c r="G4372" i="91" s="1"/>
  <c r="F4371" i="91"/>
  <c r="G4371" i="91" s="1"/>
  <c r="F4370" i="91"/>
  <c r="G4370" i="91" s="1"/>
  <c r="E4369" i="91"/>
  <c r="F4369" i="91" s="1"/>
  <c r="G4369" i="91" s="1"/>
  <c r="F4368" i="91"/>
  <c r="G4368" i="91" s="1"/>
  <c r="F4367" i="91"/>
  <c r="G4367" i="91" s="1"/>
  <c r="F4366" i="91"/>
  <c r="G4366" i="91" s="1"/>
  <c r="E4365" i="91"/>
  <c r="F4365" i="91" s="1"/>
  <c r="G4365" i="91" s="1"/>
  <c r="F4364" i="91"/>
  <c r="G4364" i="91" s="1"/>
  <c r="F4363" i="91"/>
  <c r="G4363" i="91" s="1"/>
  <c r="F4362" i="91"/>
  <c r="G4362" i="91" s="1"/>
  <c r="E4361" i="91"/>
  <c r="F4361" i="91" s="1"/>
  <c r="G4361" i="91" s="1"/>
  <c r="F4360" i="91"/>
  <c r="G4360" i="91" s="1"/>
  <c r="F4359" i="91"/>
  <c r="G4359" i="91" s="1"/>
  <c r="E4358" i="91"/>
  <c r="F4358" i="91" s="1"/>
  <c r="G4358" i="91" s="1"/>
  <c r="F4356" i="91"/>
  <c r="G4356" i="91" s="1"/>
  <c r="F4355" i="91"/>
  <c r="G4355" i="91" s="1"/>
  <c r="E4354" i="91"/>
  <c r="F4354" i="91" s="1"/>
  <c r="G4354" i="91" s="1"/>
  <c r="F4353" i="91"/>
  <c r="G4353" i="91" s="1"/>
  <c r="F4352" i="91"/>
  <c r="G4352" i="91" s="1"/>
  <c r="E4351" i="91"/>
  <c r="F4351" i="91" s="1"/>
  <c r="G4351" i="91" s="1"/>
  <c r="F4350" i="91"/>
  <c r="G4350" i="91" s="1"/>
  <c r="E4349" i="91"/>
  <c r="F4349" i="91" s="1"/>
  <c r="G4349" i="91" s="1"/>
  <c r="F4348" i="91"/>
  <c r="G4348" i="91" s="1"/>
  <c r="E4347" i="91"/>
  <c r="F4346" i="91"/>
  <c r="G4346" i="91" s="1"/>
  <c r="F4345" i="91"/>
  <c r="G4345" i="91" s="1"/>
  <c r="F4335" i="91"/>
  <c r="G4335" i="91" s="1"/>
  <c r="E4334" i="91"/>
  <c r="F4334" i="91" s="1"/>
  <c r="G4334" i="91" s="1"/>
  <c r="F4333" i="91"/>
  <c r="G4333" i="91" s="1"/>
  <c r="F4332" i="91"/>
  <c r="G4332" i="91" s="1"/>
  <c r="E4331" i="91"/>
  <c r="F4331" i="91" s="1"/>
  <c r="G4331" i="91" s="1"/>
  <c r="F4330" i="91"/>
  <c r="G4330" i="91" s="1"/>
  <c r="E4329" i="91"/>
  <c r="F4329" i="91" s="1"/>
  <c r="G4329" i="91" s="1"/>
  <c r="F4328" i="91"/>
  <c r="G4328" i="91" s="1"/>
  <c r="F4327" i="91"/>
  <c r="G4327" i="91" s="1"/>
  <c r="F4325" i="91"/>
  <c r="G4325" i="91" s="1"/>
  <c r="F4324" i="91"/>
  <c r="G4324" i="91" s="1"/>
  <c r="E4323" i="91"/>
  <c r="F4323" i="91" s="1"/>
  <c r="G4323" i="91" s="1"/>
  <c r="F4322" i="91"/>
  <c r="G4322" i="91" s="1"/>
  <c r="E4321" i="91"/>
  <c r="F4321" i="91" s="1"/>
  <c r="G4321" i="91" s="1"/>
  <c r="F4320" i="91"/>
  <c r="G4320" i="91" s="1"/>
  <c r="E4319" i="91"/>
  <c r="F4319" i="91" s="1"/>
  <c r="G4319" i="91" s="1"/>
  <c r="F4318" i="91"/>
  <c r="G4318" i="91" s="1"/>
  <c r="E4317" i="91"/>
  <c r="F4317" i="91" s="1"/>
  <c r="G4317" i="91" s="1"/>
  <c r="F4316" i="91"/>
  <c r="G4316" i="91" s="1"/>
  <c r="F4315" i="91"/>
  <c r="G4315" i="91" s="1"/>
  <c r="F4314" i="91"/>
  <c r="G4314" i="91" s="1"/>
  <c r="E4313" i="91"/>
  <c r="F4312" i="91"/>
  <c r="G4312" i="91" s="1"/>
  <c r="E4311" i="91"/>
  <c r="F4311" i="91" s="1"/>
  <c r="G4311" i="91" s="1"/>
  <c r="F4310" i="91"/>
  <c r="G4310" i="91" s="1"/>
  <c r="F4309" i="91"/>
  <c r="G4309" i="91" s="1"/>
  <c r="F4308" i="91"/>
  <c r="G4308" i="91" s="1"/>
  <c r="F4305" i="91"/>
  <c r="G4305" i="91" s="1"/>
  <c r="E4304" i="91"/>
  <c r="F4304" i="91" s="1"/>
  <c r="G4304" i="91" s="1"/>
  <c r="F4303" i="91"/>
  <c r="G4303" i="91" s="1"/>
  <c r="E4302" i="91"/>
  <c r="F4302" i="91" s="1"/>
  <c r="G4302" i="91" s="1"/>
  <c r="F4301" i="91"/>
  <c r="G4301" i="91" s="1"/>
  <c r="E4300" i="91"/>
  <c r="F4299" i="91"/>
  <c r="G4299" i="91" s="1"/>
  <c r="F4298" i="91"/>
  <c r="G4298" i="91" s="1"/>
  <c r="E4297" i="91"/>
  <c r="F4297" i="91" s="1"/>
  <c r="G4297" i="91" s="1"/>
  <c r="F4296" i="91"/>
  <c r="G4296" i="91" s="1"/>
  <c r="F4295" i="91"/>
  <c r="G4295" i="91" s="1"/>
  <c r="F4293" i="91"/>
  <c r="G4293" i="91" s="1"/>
  <c r="E4292" i="91"/>
  <c r="F4292" i="91" s="1"/>
  <c r="G4292" i="91" s="1"/>
  <c r="F4291" i="91"/>
  <c r="G4291" i="91" s="1"/>
  <c r="E4290" i="91"/>
  <c r="F4290" i="91" s="1"/>
  <c r="G4290" i="91" s="1"/>
  <c r="F4289" i="91"/>
  <c r="G4289" i="91" s="1"/>
  <c r="E4288" i="91"/>
  <c r="F4288" i="91" s="1"/>
  <c r="G4288" i="91" s="1"/>
  <c r="F4287" i="91"/>
  <c r="G4287" i="91" s="1"/>
  <c r="E4286" i="91"/>
  <c r="F4286" i="91" s="1"/>
  <c r="G4286" i="91" s="1"/>
  <c r="F4285" i="91"/>
  <c r="G4285" i="91" s="1"/>
  <c r="E4284" i="91"/>
  <c r="F4284" i="91" s="1"/>
  <c r="G4284" i="91" s="1"/>
  <c r="F4283" i="91"/>
  <c r="G4283" i="91" s="1"/>
  <c r="E4282" i="91"/>
  <c r="F4282" i="91" s="1"/>
  <c r="G4282" i="91" s="1"/>
  <c r="F4281" i="91"/>
  <c r="G4281" i="91" s="1"/>
  <c r="E4280" i="91"/>
  <c r="F4280" i="91" s="1"/>
  <c r="G4280" i="91" s="1"/>
  <c r="F4279" i="91"/>
  <c r="G4279" i="91" s="1"/>
  <c r="F4278" i="91"/>
  <c r="G4278" i="91" s="1"/>
  <c r="F4277" i="91"/>
  <c r="G4277" i="91" s="1"/>
  <c r="E4276" i="91"/>
  <c r="F4276" i="91" s="1"/>
  <c r="G4276" i="91" s="1"/>
  <c r="F4275" i="91"/>
  <c r="G4275" i="91" s="1"/>
  <c r="E4274" i="91"/>
  <c r="F4274" i="91" s="1"/>
  <c r="G4274" i="91" s="1"/>
  <c r="F4273" i="91"/>
  <c r="G4273" i="91" s="1"/>
  <c r="E4272" i="91"/>
  <c r="F4272" i="91" s="1"/>
  <c r="G4272" i="91" s="1"/>
  <c r="F4271" i="91"/>
  <c r="G4271" i="91" s="1"/>
  <c r="F4270" i="91"/>
  <c r="G4270" i="91" s="1"/>
  <c r="F4269" i="91"/>
  <c r="G4269" i="91" s="1"/>
  <c r="F4266" i="91"/>
  <c r="G4266" i="91" s="1"/>
  <c r="F4265" i="91"/>
  <c r="G4265" i="91" s="1"/>
  <c r="E4264" i="91"/>
  <c r="F4264" i="91" s="1"/>
  <c r="G4264" i="91" s="1"/>
  <c r="F4263" i="91"/>
  <c r="G4263" i="91" s="1"/>
  <c r="E4262" i="91"/>
  <c r="F4262" i="91" s="1"/>
  <c r="G4262" i="91" s="1"/>
  <c r="F4261" i="91"/>
  <c r="G4261" i="91" s="1"/>
  <c r="F4260" i="91"/>
  <c r="G4260" i="91" s="1"/>
  <c r="E4259" i="91"/>
  <c r="F4259" i="91" s="1"/>
  <c r="G4259" i="91" s="1"/>
  <c r="F4258" i="91"/>
  <c r="G4258" i="91" s="1"/>
  <c r="F4257" i="91"/>
  <c r="G4257" i="91" s="1"/>
  <c r="F4256" i="91"/>
  <c r="G4256" i="91" s="1"/>
  <c r="E4255" i="91"/>
  <c r="F4255" i="91" s="1"/>
  <c r="G4255" i="91" s="1"/>
  <c r="F4254" i="91"/>
  <c r="G4254" i="91" s="1"/>
  <c r="F4253" i="91"/>
  <c r="G4253" i="91" s="1"/>
  <c r="F4251" i="91"/>
  <c r="G4251" i="91" s="1"/>
  <c r="E4250" i="91"/>
  <c r="F4249" i="91"/>
  <c r="G4249" i="91" s="1"/>
  <c r="E4248" i="91"/>
  <c r="F4248" i="91" s="1"/>
  <c r="G4248" i="91" s="1"/>
  <c r="F4247" i="91"/>
  <c r="G4247" i="91" s="1"/>
  <c r="E4246" i="91"/>
  <c r="F4246" i="91" s="1"/>
  <c r="G4246" i="91" s="1"/>
  <c r="F4245" i="91"/>
  <c r="G4245" i="91" s="1"/>
  <c r="E4244" i="91"/>
  <c r="F4244" i="91" s="1"/>
  <c r="G4244" i="91" s="1"/>
  <c r="F4243" i="91"/>
  <c r="G4243" i="91" s="1"/>
  <c r="F4242" i="91"/>
  <c r="G4242" i="91" s="1"/>
  <c r="F4241" i="91"/>
  <c r="G4241" i="91" s="1"/>
  <c r="E4240" i="91"/>
  <c r="F4240" i="91" s="1"/>
  <c r="G4240" i="91" s="1"/>
  <c r="F4239" i="91"/>
  <c r="G4239" i="91" s="1"/>
  <c r="F4238" i="91"/>
  <c r="G4238" i="91" s="1"/>
  <c r="E4237" i="91"/>
  <c r="F4237" i="91" s="1"/>
  <c r="G4237" i="91" s="1"/>
  <c r="F4236" i="91"/>
  <c r="G4236" i="91" s="1"/>
  <c r="F4235" i="91"/>
  <c r="G4235" i="91" s="1"/>
  <c r="F4234" i="91"/>
  <c r="G4234" i="91" s="1"/>
  <c r="F4231" i="91"/>
  <c r="G4231" i="91" s="1"/>
  <c r="E4230" i="91"/>
  <c r="F4229" i="91"/>
  <c r="G4229" i="91" s="1"/>
  <c r="F4228" i="91"/>
  <c r="G4228" i="91" s="1"/>
  <c r="E4227" i="91"/>
  <c r="F4227" i="91" s="1"/>
  <c r="G4227" i="91" s="1"/>
  <c r="F4226" i="91"/>
  <c r="G4226" i="91" s="1"/>
  <c r="E4225" i="91"/>
  <c r="F4225" i="91" s="1"/>
  <c r="G4225" i="91" s="1"/>
  <c r="F4224" i="91"/>
  <c r="G4224" i="91" s="1"/>
  <c r="F4223" i="91"/>
  <c r="G4223" i="91" s="1"/>
  <c r="F4221" i="91"/>
  <c r="G4221" i="91" s="1"/>
  <c r="E4220" i="91"/>
  <c r="F4219" i="91"/>
  <c r="G4219" i="91" s="1"/>
  <c r="E4218" i="91"/>
  <c r="F4218" i="91" s="1"/>
  <c r="G4218" i="91" s="1"/>
  <c r="F4217" i="91"/>
  <c r="G4217" i="91" s="1"/>
  <c r="E4216" i="91"/>
  <c r="F4216" i="91" s="1"/>
  <c r="G4216" i="91" s="1"/>
  <c r="F4215" i="91"/>
  <c r="G4215" i="91" s="1"/>
  <c r="E4214" i="91"/>
  <c r="F4214" i="91" s="1"/>
  <c r="G4214" i="91" s="1"/>
  <c r="F4213" i="91"/>
  <c r="G4213" i="91" s="1"/>
  <c r="F4212" i="91"/>
  <c r="G4212" i="91" s="1"/>
  <c r="E4211" i="91"/>
  <c r="F4211" i="91" s="1"/>
  <c r="G4211" i="91" s="1"/>
  <c r="F4210" i="91"/>
  <c r="G4210" i="91" s="1"/>
  <c r="E4209" i="91"/>
  <c r="F4209" i="91" s="1"/>
  <c r="G4209" i="91" s="1"/>
  <c r="F4208" i="91"/>
  <c r="G4208" i="91" s="1"/>
  <c r="F4207" i="91"/>
  <c r="G4207" i="91" s="1"/>
  <c r="F4206" i="91"/>
  <c r="G4206" i="91" s="1"/>
  <c r="E4205" i="91"/>
  <c r="F4204" i="91"/>
  <c r="G4204" i="91" s="1"/>
  <c r="F4203" i="91"/>
  <c r="G4203" i="91" s="1"/>
  <c r="E4202" i="91"/>
  <c r="F4202" i="91" s="1"/>
  <c r="G4202" i="91" s="1"/>
  <c r="F4201" i="91"/>
  <c r="G4201" i="91" s="1"/>
  <c r="F4200" i="91"/>
  <c r="G4200" i="91" s="1"/>
  <c r="F4199" i="91"/>
  <c r="G4199" i="91" s="1"/>
  <c r="E4198" i="91"/>
  <c r="F4198" i="91" s="1"/>
  <c r="G4198" i="91" s="1"/>
  <c r="F4197" i="91"/>
  <c r="G4197" i="91" s="1"/>
  <c r="E4196" i="91"/>
  <c r="F4196" i="91" s="1"/>
  <c r="G4196" i="91" s="1"/>
  <c r="F4195" i="91"/>
  <c r="G4195" i="91" s="1"/>
  <c r="E4194" i="91"/>
  <c r="F4194" i="91" s="1"/>
  <c r="G4194" i="91" s="1"/>
  <c r="F4193" i="91"/>
  <c r="G4193" i="91" s="1"/>
  <c r="F4192" i="91"/>
  <c r="G4192" i="91" s="1"/>
  <c r="F4189" i="91"/>
  <c r="G4189" i="91" s="1"/>
  <c r="E4188" i="91"/>
  <c r="F4187" i="91"/>
  <c r="G4187" i="91" s="1"/>
  <c r="F4186" i="91"/>
  <c r="G4186" i="91" s="1"/>
  <c r="F4184" i="91"/>
  <c r="G4184" i="91" s="1"/>
  <c r="E4183" i="91"/>
  <c r="C1831" i="3" s="1"/>
  <c r="F4182" i="91"/>
  <c r="G4182" i="91" s="1"/>
  <c r="F4181" i="91"/>
  <c r="G4181" i="91" s="1"/>
  <c r="F4180" i="91"/>
  <c r="G4180" i="91" s="1"/>
  <c r="E4179" i="91"/>
  <c r="F4179" i="91" s="1"/>
  <c r="G4179" i="91" s="1"/>
  <c r="F4178" i="91"/>
  <c r="G4178" i="91" s="1"/>
  <c r="E4177" i="91"/>
  <c r="F4177" i="91" s="1"/>
  <c r="G4177" i="91" s="1"/>
  <c r="F4176" i="91"/>
  <c r="G4176" i="91" s="1"/>
  <c r="E4175" i="91"/>
  <c r="F4175" i="91" s="1"/>
  <c r="G4175" i="91" s="1"/>
  <c r="F4174" i="91"/>
  <c r="G4174" i="91" s="1"/>
  <c r="F4173" i="91"/>
  <c r="G4173" i="91" s="1"/>
  <c r="F4172" i="91"/>
  <c r="G4172" i="91" s="1"/>
  <c r="F4171" i="91"/>
  <c r="G4171" i="91" s="1"/>
  <c r="E4170" i="91"/>
  <c r="F4170" i="91" s="1"/>
  <c r="G4170" i="91" s="1"/>
  <c r="F4169" i="91"/>
  <c r="G4169" i="91" s="1"/>
  <c r="F4168" i="91"/>
  <c r="G4168" i="91" s="1"/>
  <c r="E4167" i="91"/>
  <c r="F4167" i="91" s="1"/>
  <c r="G4167" i="91" s="1"/>
  <c r="F4166" i="91"/>
  <c r="G4166" i="91" s="1"/>
  <c r="F4165" i="91"/>
  <c r="G4165" i="91" s="1"/>
  <c r="E4164" i="91"/>
  <c r="F4164" i="91" s="1"/>
  <c r="G4164" i="91" s="1"/>
  <c r="F4163" i="91"/>
  <c r="G4163" i="91" s="1"/>
  <c r="E4162" i="91"/>
  <c r="F4162" i="91" s="1"/>
  <c r="G4162" i="91" s="1"/>
  <c r="F4161" i="91"/>
  <c r="G4161" i="91" s="1"/>
  <c r="F4160" i="91"/>
  <c r="G4160" i="91" s="1"/>
  <c r="E4159" i="91"/>
  <c r="F4159" i="91" s="1"/>
  <c r="G4159" i="91" s="1"/>
  <c r="F4158" i="91"/>
  <c r="G4158" i="91" s="1"/>
  <c r="F4157" i="91"/>
  <c r="G4157" i="91" s="1"/>
  <c r="F4156" i="91"/>
  <c r="G4156" i="91" s="1"/>
  <c r="E4155" i="91"/>
  <c r="F4155" i="91" s="1"/>
  <c r="G4155" i="91" s="1"/>
  <c r="F4154" i="91"/>
  <c r="G4154" i="91" s="1"/>
  <c r="F4153" i="91"/>
  <c r="G4153" i="91" s="1"/>
  <c r="E4152" i="91"/>
  <c r="F4152" i="91" s="1"/>
  <c r="G4152" i="91" s="1"/>
  <c r="F4151" i="91"/>
  <c r="G4151" i="91" s="1"/>
  <c r="E4150" i="91"/>
  <c r="F4150" i="91" s="1"/>
  <c r="G4150" i="91" s="1"/>
  <c r="F4149" i="91"/>
  <c r="G4149" i="91" s="1"/>
  <c r="E4148" i="91"/>
  <c r="F4147" i="91"/>
  <c r="G4147" i="91" s="1"/>
  <c r="F4146" i="91"/>
  <c r="G4146" i="91" s="1"/>
  <c r="F4136" i="91"/>
  <c r="G4136" i="91" s="1"/>
  <c r="F4135" i="91"/>
  <c r="G4135" i="91" s="1"/>
  <c r="F4134" i="91"/>
  <c r="G4134" i="91" s="1"/>
  <c r="F4133" i="91"/>
  <c r="G4133" i="91" s="1"/>
  <c r="F4132" i="91"/>
  <c r="G4132" i="91" s="1"/>
  <c r="F4131" i="91"/>
  <c r="G4131" i="91" s="1"/>
  <c r="F4130" i="91"/>
  <c r="G4130" i="91" s="1"/>
  <c r="F4129" i="91"/>
  <c r="G4129" i="91" s="1"/>
  <c r="E4128" i="91"/>
  <c r="F4127" i="91"/>
  <c r="G4127" i="91" s="1"/>
  <c r="E4126" i="91"/>
  <c r="F4126" i="91" s="1"/>
  <c r="G4126" i="91" s="1"/>
  <c r="F4125" i="91"/>
  <c r="G4125" i="91" s="1"/>
  <c r="E4124" i="91"/>
  <c r="F4124" i="91" s="1"/>
  <c r="G4124" i="91" s="1"/>
  <c r="F4123" i="91"/>
  <c r="G4123" i="91" s="1"/>
  <c r="E4122" i="91"/>
  <c r="F4122" i="91" s="1"/>
  <c r="G4122" i="91" s="1"/>
  <c r="F4121" i="91"/>
  <c r="G4121" i="91" s="1"/>
  <c r="F4120" i="91"/>
  <c r="G4120" i="91" s="1"/>
  <c r="F4119" i="91"/>
  <c r="G4119" i="91" s="1"/>
  <c r="F4117" i="91"/>
  <c r="G4117" i="91" s="1"/>
  <c r="F4116" i="91"/>
  <c r="G4116" i="91" s="1"/>
  <c r="E4115" i="91"/>
  <c r="F4115" i="91" s="1"/>
  <c r="G4115" i="91" s="1"/>
  <c r="F4114" i="91"/>
  <c r="G4114" i="91" s="1"/>
  <c r="E4113" i="91"/>
  <c r="F4113" i="91" s="1"/>
  <c r="G4113" i="91" s="1"/>
  <c r="F4112" i="91"/>
  <c r="G4112" i="91" s="1"/>
  <c r="E4111" i="91"/>
  <c r="F4111" i="91" s="1"/>
  <c r="G4111" i="91" s="1"/>
  <c r="F4110" i="91"/>
  <c r="G4110" i="91" s="1"/>
  <c r="F4109" i="91"/>
  <c r="G4109" i="91" s="1"/>
  <c r="E4108" i="91"/>
  <c r="E4107" i="91" s="1"/>
  <c r="F4107" i="91" s="1"/>
  <c r="G4107" i="91" s="1"/>
  <c r="F4106" i="91"/>
  <c r="G4106" i="91" s="1"/>
  <c r="E4105" i="91"/>
  <c r="F4105" i="91" s="1"/>
  <c r="G4105" i="91" s="1"/>
  <c r="F4104" i="91"/>
  <c r="G4104" i="91" s="1"/>
  <c r="F4103" i="91"/>
  <c r="G4103" i="91" s="1"/>
  <c r="F4102" i="91"/>
  <c r="G4102" i="91" s="1"/>
  <c r="E4101" i="91"/>
  <c r="F4101" i="91" s="1"/>
  <c r="G4101" i="91" s="1"/>
  <c r="E4100" i="91"/>
  <c r="F4100" i="91" s="1"/>
  <c r="G4100" i="91" s="1"/>
  <c r="F4099" i="91"/>
  <c r="G4099" i="91" s="1"/>
  <c r="F4098" i="91"/>
  <c r="G4098" i="91" s="1"/>
  <c r="F4096" i="91"/>
  <c r="G4096" i="91" s="1"/>
  <c r="F4095" i="91"/>
  <c r="G4095" i="91" s="1"/>
  <c r="F4094" i="91"/>
  <c r="G4094" i="91" s="1"/>
  <c r="E4093" i="91"/>
  <c r="F4093" i="91" s="1"/>
  <c r="G4093" i="91" s="1"/>
  <c r="F4092" i="91"/>
  <c r="G4092" i="91" s="1"/>
  <c r="F4091" i="91"/>
  <c r="G4091" i="91" s="1"/>
  <c r="F4090" i="91"/>
  <c r="G4090" i="91" s="1"/>
  <c r="E4089" i="91"/>
  <c r="F4089" i="91" s="1"/>
  <c r="G4089" i="91" s="1"/>
  <c r="F4088" i="91"/>
  <c r="G4088" i="91" s="1"/>
  <c r="F4087" i="91"/>
  <c r="G4087" i="91" s="1"/>
  <c r="F4086" i="91"/>
  <c r="G4086" i="91" s="1"/>
  <c r="F4082" i="91"/>
  <c r="G4082" i="91" s="1"/>
  <c r="F4081" i="91"/>
  <c r="G4081" i="91" s="1"/>
  <c r="F4080" i="91"/>
  <c r="G4080" i="91" s="1"/>
  <c r="F4079" i="91"/>
  <c r="G4079" i="91" s="1"/>
  <c r="F4078" i="91"/>
  <c r="G4078" i="91" s="1"/>
  <c r="E4077" i="91"/>
  <c r="F4076" i="91"/>
  <c r="G4076" i="91" s="1"/>
  <c r="F4075" i="91"/>
  <c r="G4075" i="91" s="1"/>
  <c r="F4073" i="91"/>
  <c r="G4073" i="91" s="1"/>
  <c r="F4072" i="91"/>
  <c r="G4072" i="91" s="1"/>
  <c r="E4071" i="91"/>
  <c r="F4071" i="91" s="1"/>
  <c r="G4071" i="91" s="1"/>
  <c r="F4070" i="91"/>
  <c r="G4070" i="91" s="1"/>
  <c r="E4069" i="91"/>
  <c r="F4069" i="91" s="1"/>
  <c r="G4069" i="91" s="1"/>
  <c r="F4068" i="91"/>
  <c r="G4068" i="91" s="1"/>
  <c r="F4067" i="91"/>
  <c r="G4067" i="91" s="1"/>
  <c r="E4066" i="91"/>
  <c r="F4066" i="91" s="1"/>
  <c r="G4066" i="91" s="1"/>
  <c r="F4065" i="91"/>
  <c r="G4065" i="91" s="1"/>
  <c r="F4064" i="91"/>
  <c r="G4064" i="91" s="1"/>
  <c r="F4063" i="91"/>
  <c r="G4063" i="91" s="1"/>
  <c r="E4062" i="91"/>
  <c r="F4062" i="91" s="1"/>
  <c r="G4062" i="91" s="1"/>
  <c r="F4061" i="91"/>
  <c r="G4061" i="91" s="1"/>
  <c r="F4060" i="91"/>
  <c r="G4060" i="91" s="1"/>
  <c r="F4059" i="91"/>
  <c r="G4059" i="91" s="1"/>
  <c r="E4058" i="91"/>
  <c r="F4058" i="91" s="1"/>
  <c r="G4058" i="91" s="1"/>
  <c r="F4057" i="91"/>
  <c r="G4057" i="91" s="1"/>
  <c r="F4056" i="91"/>
  <c r="G4056" i="91" s="1"/>
  <c r="F4055" i="91"/>
  <c r="G4055" i="91" s="1"/>
  <c r="E4054" i="91"/>
  <c r="F4054" i="91" s="1"/>
  <c r="G4054" i="91" s="1"/>
  <c r="F4053" i="91"/>
  <c r="G4053" i="91" s="1"/>
  <c r="F4052" i="91"/>
  <c r="G4052" i="91" s="1"/>
  <c r="F4051" i="91"/>
  <c r="G4051" i="91" s="1"/>
  <c r="E4050" i="91"/>
  <c r="F4050" i="91" s="1"/>
  <c r="G4050" i="91" s="1"/>
  <c r="F4049" i="91"/>
  <c r="G4049" i="91" s="1"/>
  <c r="E4048" i="91"/>
  <c r="E4046" i="91" s="1"/>
  <c r="F4047" i="91"/>
  <c r="G4047" i="91" s="1"/>
  <c r="F4045" i="91"/>
  <c r="G4045" i="91" s="1"/>
  <c r="F4044" i="91"/>
  <c r="G4044" i="91" s="1"/>
  <c r="F4043" i="91"/>
  <c r="G4043" i="91" s="1"/>
  <c r="F4042" i="91"/>
  <c r="G4042" i="91" s="1"/>
  <c r="F4039" i="91"/>
  <c r="G4039" i="91" s="1"/>
  <c r="F4038" i="91"/>
  <c r="G4038" i="91" s="1"/>
  <c r="F4037" i="91"/>
  <c r="G4037" i="91" s="1"/>
  <c r="E4036" i="91"/>
  <c r="F4036" i="91" s="1"/>
  <c r="G4036" i="91" s="1"/>
  <c r="F4035" i="91"/>
  <c r="G4035" i="91" s="1"/>
  <c r="E4034" i="91"/>
  <c r="F4034" i="91" s="1"/>
  <c r="G4034" i="91" s="1"/>
  <c r="F4033" i="91"/>
  <c r="G4033" i="91" s="1"/>
  <c r="F4032" i="91"/>
  <c r="G4032" i="91" s="1"/>
  <c r="F4030" i="91"/>
  <c r="G4030" i="91" s="1"/>
  <c r="F4029" i="91"/>
  <c r="G4029" i="91" s="1"/>
  <c r="E4028" i="91"/>
  <c r="C1768" i="3" s="1"/>
  <c r="F4027" i="91"/>
  <c r="G4027" i="91" s="1"/>
  <c r="F4026" i="91"/>
  <c r="G4026" i="91" s="1"/>
  <c r="E4025" i="91"/>
  <c r="F4025" i="91" s="1"/>
  <c r="G4025" i="91" s="1"/>
  <c r="F4024" i="91"/>
  <c r="G4024" i="91" s="1"/>
  <c r="F4023" i="91"/>
  <c r="G4023" i="91" s="1"/>
  <c r="E4022" i="91"/>
  <c r="F4022" i="91" s="1"/>
  <c r="G4022" i="91" s="1"/>
  <c r="F4021" i="91"/>
  <c r="G4021" i="91" s="1"/>
  <c r="E4020" i="91"/>
  <c r="F4020" i="91" s="1"/>
  <c r="G4020" i="91" s="1"/>
  <c r="F4019" i="91"/>
  <c r="G4019" i="91" s="1"/>
  <c r="E4018" i="91"/>
  <c r="F4018" i="91" s="1"/>
  <c r="G4018" i="91" s="1"/>
  <c r="F4017" i="91"/>
  <c r="G4017" i="91" s="1"/>
  <c r="F4016" i="91"/>
  <c r="G4016" i="91" s="1"/>
  <c r="F4015" i="91"/>
  <c r="G4015" i="91" s="1"/>
  <c r="E4014" i="91"/>
  <c r="F4014" i="91" s="1"/>
  <c r="G4014" i="91" s="1"/>
  <c r="F4013" i="91"/>
  <c r="G4013" i="91" s="1"/>
  <c r="E4012" i="91"/>
  <c r="F4012" i="91" s="1"/>
  <c r="G4012" i="91" s="1"/>
  <c r="F4011" i="91"/>
  <c r="G4011" i="91" s="1"/>
  <c r="F4010" i="91"/>
  <c r="G4010" i="91" s="1"/>
  <c r="F4009" i="91"/>
  <c r="G4009" i="91" s="1"/>
  <c r="E4008" i="91"/>
  <c r="F4008" i="91" s="1"/>
  <c r="G4008" i="91" s="1"/>
  <c r="F4007" i="91"/>
  <c r="G4007" i="91" s="1"/>
  <c r="F4006" i="91"/>
  <c r="G4006" i="91" s="1"/>
  <c r="F4005" i="91"/>
  <c r="G4005" i="91" s="1"/>
  <c r="E4004" i="91"/>
  <c r="F4003" i="91"/>
  <c r="G4003" i="91" s="1"/>
  <c r="F4002" i="91"/>
  <c r="G4002" i="91" s="1"/>
  <c r="F4001" i="91"/>
  <c r="G4001" i="91" s="1"/>
  <c r="E4000" i="91"/>
  <c r="F4000" i="91" s="1"/>
  <c r="G4000" i="91" s="1"/>
  <c r="F3999" i="91"/>
  <c r="G3999" i="91" s="1"/>
  <c r="F3998" i="91"/>
  <c r="G3998" i="91" s="1"/>
  <c r="F3997" i="91"/>
  <c r="G3997" i="91" s="1"/>
  <c r="E3996" i="91"/>
  <c r="F3996" i="91" s="1"/>
  <c r="G3996" i="91" s="1"/>
  <c r="F3995" i="91"/>
  <c r="G3995" i="91" s="1"/>
  <c r="F3994" i="91"/>
  <c r="G3994" i="91" s="1"/>
  <c r="F3993" i="91"/>
  <c r="G3993" i="91" s="1"/>
  <c r="F3989" i="91"/>
  <c r="G3989" i="91" s="1"/>
  <c r="F3988" i="91"/>
  <c r="G3988" i="91" s="1"/>
  <c r="E3987" i="91"/>
  <c r="E3990" i="91" s="1"/>
  <c r="F3986" i="91"/>
  <c r="G3986" i="91" s="1"/>
  <c r="F3985" i="91"/>
  <c r="G3985" i="91" s="1"/>
  <c r="F3984" i="91"/>
  <c r="G3984" i="91" s="1"/>
  <c r="F3982" i="91"/>
  <c r="G3982" i="91" s="1"/>
  <c r="E3981" i="91"/>
  <c r="F3981" i="91" s="1"/>
  <c r="G3981" i="91" s="1"/>
  <c r="F3980" i="91"/>
  <c r="G3980" i="91" s="1"/>
  <c r="F3979" i="91"/>
  <c r="G3979" i="91" s="1"/>
  <c r="E3978" i="91"/>
  <c r="F3978" i="91" s="1"/>
  <c r="G3978" i="91" s="1"/>
  <c r="E3977" i="91"/>
  <c r="F3977" i="91" s="1"/>
  <c r="G3977" i="91" s="1"/>
  <c r="F3975" i="91"/>
  <c r="G3975" i="91" s="1"/>
  <c r="E3974" i="91"/>
  <c r="F3973" i="91"/>
  <c r="G3973" i="91" s="1"/>
  <c r="F3971" i="91"/>
  <c r="G3971" i="91" s="1"/>
  <c r="F3970" i="91"/>
  <c r="G3970" i="91" s="1"/>
  <c r="F3969" i="91"/>
  <c r="G3969" i="91" s="1"/>
  <c r="E3968" i="91"/>
  <c r="F3968" i="91" s="1"/>
  <c r="G3968" i="91" s="1"/>
  <c r="F3967" i="91"/>
  <c r="G3967" i="91" s="1"/>
  <c r="E3966" i="91"/>
  <c r="F3966" i="91" s="1"/>
  <c r="G3966" i="91" s="1"/>
  <c r="F3965" i="91"/>
  <c r="G3965" i="91" s="1"/>
  <c r="F3964" i="91"/>
  <c r="G3964" i="91" s="1"/>
  <c r="F3963" i="91"/>
  <c r="G3963" i="91" s="1"/>
  <c r="E3962" i="91"/>
  <c r="F3962" i="91" s="1"/>
  <c r="G3962" i="91" s="1"/>
  <c r="F3961" i="91"/>
  <c r="G3961" i="91" s="1"/>
  <c r="F3960" i="91"/>
  <c r="G3960" i="91" s="1"/>
  <c r="F3959" i="91"/>
  <c r="G3959" i="91" s="1"/>
  <c r="E3958" i="91"/>
  <c r="F3958" i="91" s="1"/>
  <c r="G3958" i="91" s="1"/>
  <c r="F3957" i="91"/>
  <c r="G3957" i="91" s="1"/>
  <c r="F3956" i="91"/>
  <c r="G3956" i="91" s="1"/>
  <c r="F3955" i="91"/>
  <c r="G3955" i="91" s="1"/>
  <c r="E3954" i="91"/>
  <c r="F3954" i="91" s="1"/>
  <c r="G3954" i="91" s="1"/>
  <c r="F3953" i="91"/>
  <c r="G3953" i="91" s="1"/>
  <c r="F3952" i="91"/>
  <c r="G3952" i="91" s="1"/>
  <c r="F3951" i="91"/>
  <c r="G3951" i="91" s="1"/>
  <c r="E3950" i="91"/>
  <c r="F3950" i="91" s="1"/>
  <c r="G3950" i="91" s="1"/>
  <c r="F3949" i="91"/>
  <c r="G3949" i="91" s="1"/>
  <c r="F3948" i="91"/>
  <c r="G3948" i="91" s="1"/>
  <c r="F3947" i="91"/>
  <c r="G3947" i="91" s="1"/>
  <c r="F3946" i="91"/>
  <c r="G3946" i="91" s="1"/>
  <c r="F3945" i="91"/>
  <c r="G3945" i="91" s="1"/>
  <c r="F3942" i="91"/>
  <c r="G3942" i="91" s="1"/>
  <c r="F3941" i="91"/>
  <c r="G3941" i="91" s="1"/>
  <c r="E3940" i="91"/>
  <c r="F3939" i="91"/>
  <c r="G3939" i="91" s="1"/>
  <c r="F3938" i="91"/>
  <c r="G3938" i="91" s="1"/>
  <c r="F3937" i="91"/>
  <c r="G3937" i="91" s="1"/>
  <c r="E3936" i="91"/>
  <c r="F3936" i="91" s="1"/>
  <c r="G3936" i="91" s="1"/>
  <c r="F3935" i="91"/>
  <c r="G3935" i="91" s="1"/>
  <c r="E3934" i="91"/>
  <c r="F3934" i="91" s="1"/>
  <c r="G3934" i="91" s="1"/>
  <c r="F3933" i="91"/>
  <c r="G3933" i="91" s="1"/>
  <c r="F3932" i="91"/>
  <c r="G3932" i="91" s="1"/>
  <c r="F3931" i="91"/>
  <c r="G3931" i="91" s="1"/>
  <c r="E3930" i="91"/>
  <c r="F3930" i="91" s="1"/>
  <c r="G3930" i="91" s="1"/>
  <c r="F3929" i="91"/>
  <c r="G3929" i="91" s="1"/>
  <c r="E3928" i="91"/>
  <c r="F3928" i="91" s="1"/>
  <c r="G3928" i="91" s="1"/>
  <c r="F3927" i="91"/>
  <c r="G3927" i="91" s="1"/>
  <c r="F3926" i="91"/>
  <c r="G3926" i="91" s="1"/>
  <c r="E3925" i="91"/>
  <c r="F3925" i="91" s="1"/>
  <c r="G3925" i="91" s="1"/>
  <c r="F3924" i="91"/>
  <c r="G3924" i="91" s="1"/>
  <c r="F3923" i="91"/>
  <c r="G3923" i="91" s="1"/>
  <c r="F3922" i="91"/>
  <c r="G3922" i="91" s="1"/>
  <c r="F3921" i="91"/>
  <c r="G3921" i="91" s="1"/>
  <c r="F3920" i="91"/>
  <c r="G3920" i="91" s="1"/>
  <c r="F3916" i="91"/>
  <c r="G3916" i="91" s="1"/>
  <c r="F3915" i="91"/>
  <c r="G3915" i="91" s="1"/>
  <c r="E3914" i="91"/>
  <c r="F3914" i="91" s="1"/>
  <c r="G3914" i="91" s="1"/>
  <c r="F3913" i="91"/>
  <c r="G3913" i="91" s="1"/>
  <c r="F3912" i="91"/>
  <c r="G3912" i="91" s="1"/>
  <c r="E3911" i="91"/>
  <c r="F3911" i="91" s="1"/>
  <c r="G3911" i="91" s="1"/>
  <c r="F3910" i="91"/>
  <c r="G3910" i="91" s="1"/>
  <c r="E3909" i="91"/>
  <c r="F3908" i="91"/>
  <c r="G3908" i="91" s="1"/>
  <c r="E3907" i="91"/>
  <c r="F3907" i="91" s="1"/>
  <c r="G3907" i="91" s="1"/>
  <c r="F3906" i="91"/>
  <c r="G3906" i="91" s="1"/>
  <c r="F3905" i="91"/>
  <c r="G3905" i="91" s="1"/>
  <c r="F3904" i="91"/>
  <c r="G3904" i="91" s="1"/>
  <c r="F3903" i="91"/>
  <c r="G3903" i="91" s="1"/>
  <c r="F3902" i="91"/>
  <c r="G3902" i="91" s="1"/>
  <c r="E3901" i="91"/>
  <c r="F3901" i="91" s="1"/>
  <c r="G3901" i="91" s="1"/>
  <c r="F3900" i="91"/>
  <c r="G3900" i="91" s="1"/>
  <c r="E3899" i="91"/>
  <c r="F3899" i="91" s="1"/>
  <c r="G3899" i="91" s="1"/>
  <c r="F3898" i="91"/>
  <c r="G3898" i="91" s="1"/>
  <c r="F3897" i="91"/>
  <c r="G3897" i="91" s="1"/>
  <c r="F3896" i="91"/>
  <c r="G3896" i="91" s="1"/>
  <c r="F3895" i="91"/>
  <c r="G3895" i="91" s="1"/>
  <c r="E3894" i="91"/>
  <c r="F3894" i="91" s="1"/>
  <c r="G3894" i="91" s="1"/>
  <c r="F3893" i="91"/>
  <c r="G3893" i="91" s="1"/>
  <c r="F3892" i="91"/>
  <c r="G3892" i="91" s="1"/>
  <c r="F3891" i="91"/>
  <c r="G3891" i="91" s="1"/>
  <c r="F3890" i="91"/>
  <c r="G3890" i="91" s="1"/>
  <c r="E3889" i="91"/>
  <c r="F3889" i="91" s="1"/>
  <c r="G3889" i="91" s="1"/>
  <c r="F3888" i="91"/>
  <c r="G3888" i="91" s="1"/>
  <c r="F3887" i="91"/>
  <c r="G3887" i="91" s="1"/>
  <c r="F3886" i="91"/>
  <c r="G3886" i="91" s="1"/>
  <c r="E3885" i="91"/>
  <c r="F3885" i="91" s="1"/>
  <c r="G3885" i="91" s="1"/>
  <c r="F3884" i="91"/>
  <c r="G3884" i="91" s="1"/>
  <c r="F3883" i="91"/>
  <c r="G3883" i="91" s="1"/>
  <c r="F3882" i="91"/>
  <c r="G3882" i="91" s="1"/>
  <c r="E3881" i="91"/>
  <c r="F3881" i="91" s="1"/>
  <c r="G3881" i="91" s="1"/>
  <c r="F3880" i="91"/>
  <c r="G3880" i="91" s="1"/>
  <c r="F3879" i="91"/>
  <c r="G3879" i="91" s="1"/>
  <c r="E3878" i="91"/>
  <c r="F3878" i="91" s="1"/>
  <c r="G3878" i="91" s="1"/>
  <c r="F3877" i="91"/>
  <c r="G3877" i="91" s="1"/>
  <c r="E3876" i="91"/>
  <c r="C1713" i="3" s="1"/>
  <c r="F3875" i="91"/>
  <c r="G3875" i="91" s="1"/>
  <c r="E3862" i="91"/>
  <c r="F3860" i="91"/>
  <c r="G3860" i="91" s="1"/>
  <c r="E3859" i="91"/>
  <c r="F3859" i="91" s="1"/>
  <c r="G3859" i="91" s="1"/>
  <c r="F3858" i="91"/>
  <c r="G3858" i="91" s="1"/>
  <c r="F3857" i="91"/>
  <c r="G3857" i="91" s="1"/>
  <c r="F3855" i="91"/>
  <c r="G3855" i="91" s="1"/>
  <c r="E3854" i="91"/>
  <c r="C1671" i="3" s="1"/>
  <c r="D1671" i="3" s="1"/>
  <c r="E1671" i="3" s="1"/>
  <c r="F3853" i="91"/>
  <c r="G3853" i="91" s="1"/>
  <c r="E3852" i="91"/>
  <c r="F3852" i="91" s="1"/>
  <c r="G3852" i="91" s="1"/>
  <c r="F3851" i="91"/>
  <c r="G3851" i="91" s="1"/>
  <c r="E3850" i="91"/>
  <c r="F3850" i="91" s="1"/>
  <c r="G3850" i="91" s="1"/>
  <c r="F3849" i="91"/>
  <c r="G3849" i="91" s="1"/>
  <c r="F3848" i="91"/>
  <c r="G3848" i="91" s="1"/>
  <c r="F3847" i="91"/>
  <c r="G3847" i="91" s="1"/>
  <c r="E3846" i="91"/>
  <c r="F3846" i="91" s="1"/>
  <c r="G3846" i="91" s="1"/>
  <c r="F3845" i="91"/>
  <c r="G3845" i="91" s="1"/>
  <c r="E3844" i="91"/>
  <c r="F3844" i="91" s="1"/>
  <c r="G3844" i="91" s="1"/>
  <c r="F3843" i="91"/>
  <c r="G3843" i="91" s="1"/>
  <c r="E3842" i="91"/>
  <c r="F3842" i="91" s="1"/>
  <c r="G3842" i="91" s="1"/>
  <c r="F3841" i="91"/>
  <c r="G3841" i="91" s="1"/>
  <c r="E3840" i="91"/>
  <c r="F3840" i="91" s="1"/>
  <c r="G3840" i="91" s="1"/>
  <c r="F3838" i="91"/>
  <c r="G3838" i="91" s="1"/>
  <c r="F3837" i="91"/>
  <c r="G3837" i="91" s="1"/>
  <c r="E3836" i="91"/>
  <c r="F3836" i="91" s="1"/>
  <c r="G3836" i="91" s="1"/>
  <c r="F3835" i="91"/>
  <c r="G3835" i="91" s="1"/>
  <c r="F3834" i="91"/>
  <c r="G3834" i="91" s="1"/>
  <c r="F3833" i="91"/>
  <c r="G3833" i="91" s="1"/>
  <c r="E3832" i="91"/>
  <c r="F3832" i="91" s="1"/>
  <c r="G3832" i="91" s="1"/>
  <c r="E3831" i="91"/>
  <c r="F3829" i="91"/>
  <c r="G3829" i="91" s="1"/>
  <c r="F3828" i="91"/>
  <c r="G3828" i="91" s="1"/>
  <c r="E3827" i="91"/>
  <c r="F3827" i="91" s="1"/>
  <c r="G3827" i="91" s="1"/>
  <c r="F3826" i="91"/>
  <c r="G3826" i="91" s="1"/>
  <c r="F3825" i="91"/>
  <c r="G3825" i="91" s="1"/>
  <c r="E3822" i="91"/>
  <c r="F3820" i="91"/>
  <c r="G3820" i="91" s="1"/>
  <c r="F3819" i="91"/>
  <c r="G3819" i="91" s="1"/>
  <c r="F3818" i="91"/>
  <c r="G3818" i="91" s="1"/>
  <c r="F3817" i="91"/>
  <c r="G3817" i="91" s="1"/>
  <c r="F3816" i="91"/>
  <c r="G3816" i="91" s="1"/>
  <c r="E3815" i="91"/>
  <c r="F3815" i="91" s="1"/>
  <c r="G3815" i="91" s="1"/>
  <c r="F3814" i="91"/>
  <c r="G3814" i="91" s="1"/>
  <c r="E3813" i="91"/>
  <c r="F3813" i="91" s="1"/>
  <c r="G3813" i="91" s="1"/>
  <c r="F3812" i="91"/>
  <c r="G3812" i="91" s="1"/>
  <c r="F3811" i="91"/>
  <c r="G3811" i="91" s="1"/>
  <c r="F3810" i="91"/>
  <c r="G3810" i="91" s="1"/>
  <c r="E3808" i="91"/>
  <c r="F3808" i="91" s="1"/>
  <c r="G3808" i="91" s="1"/>
  <c r="F3806" i="91"/>
  <c r="G3806" i="91" s="1"/>
  <c r="F3805" i="91"/>
  <c r="G3805" i="91" s="1"/>
  <c r="F3804" i="91"/>
  <c r="G3804" i="91" s="1"/>
  <c r="E3803" i="91"/>
  <c r="F3803" i="91" s="1"/>
  <c r="G3803" i="91" s="1"/>
  <c r="E3802" i="91"/>
  <c r="F3802" i="91" s="1"/>
  <c r="G3802" i="91" s="1"/>
  <c r="F3800" i="91"/>
  <c r="G3800" i="91" s="1"/>
  <c r="E3799" i="91"/>
  <c r="F3799" i="91" s="1"/>
  <c r="G3799" i="91" s="1"/>
  <c r="E3798" i="91"/>
  <c r="F3798" i="91" s="1"/>
  <c r="G3798" i="91" s="1"/>
  <c r="F3796" i="91"/>
  <c r="G3796" i="91" s="1"/>
  <c r="F3795" i="91"/>
  <c r="G3795" i="91" s="1"/>
  <c r="F3794" i="91"/>
  <c r="G3794" i="91" s="1"/>
  <c r="E3793" i="91"/>
  <c r="F3793" i="91" s="1"/>
  <c r="G3793" i="91" s="1"/>
  <c r="E3792" i="91"/>
  <c r="F3792" i="91" s="1"/>
  <c r="G3792" i="91" s="1"/>
  <c r="E3790" i="91"/>
  <c r="F3790" i="91" s="1"/>
  <c r="G3790" i="91" s="1"/>
  <c r="F3788" i="91"/>
  <c r="G3788" i="91" s="1"/>
  <c r="F3787" i="91"/>
  <c r="G3787" i="91" s="1"/>
  <c r="F3786" i="91"/>
  <c r="G3786" i="91" s="1"/>
  <c r="E3785" i="91"/>
  <c r="F3785" i="91" s="1"/>
  <c r="G3785" i="91" s="1"/>
  <c r="E3784" i="91"/>
  <c r="F3784" i="91" s="1"/>
  <c r="G3784" i="91" s="1"/>
  <c r="F3782" i="91"/>
  <c r="G3782" i="91" s="1"/>
  <c r="F3781" i="91"/>
  <c r="G3781" i="91" s="1"/>
  <c r="F3780" i="91"/>
  <c r="G3780" i="91" s="1"/>
  <c r="E3779" i="91"/>
  <c r="F3779" i="91" s="1"/>
  <c r="G3779" i="91" s="1"/>
  <c r="F3778" i="91"/>
  <c r="G3778" i="91" s="1"/>
  <c r="F3777" i="91"/>
  <c r="G3777" i="91" s="1"/>
  <c r="E3776" i="91"/>
  <c r="F3776" i="91" s="1"/>
  <c r="G3776" i="91" s="1"/>
  <c r="F3775" i="91"/>
  <c r="G3775" i="91" s="1"/>
  <c r="F3774" i="91"/>
  <c r="G3774" i="91" s="1"/>
  <c r="E3773" i="91"/>
  <c r="F3773" i="91" s="1"/>
  <c r="G3773" i="91" s="1"/>
  <c r="F3772" i="91"/>
  <c r="G3772" i="91" s="1"/>
  <c r="F3771" i="91"/>
  <c r="G3771" i="91" s="1"/>
  <c r="F3770" i="91"/>
  <c r="G3770" i="91" s="1"/>
  <c r="F3769" i="91"/>
  <c r="G3769" i="91" s="1"/>
  <c r="E3767" i="91"/>
  <c r="F3767" i="91" s="1"/>
  <c r="G3767" i="91" s="1"/>
  <c r="F3766" i="91"/>
  <c r="G3766" i="91" s="1"/>
  <c r="F3764" i="91"/>
  <c r="G3764" i="91" s="1"/>
  <c r="E3763" i="91"/>
  <c r="F3763" i="91" s="1"/>
  <c r="G3763" i="91" s="1"/>
  <c r="E3762" i="91"/>
  <c r="F3762" i="91" s="1"/>
  <c r="G3762" i="91" s="1"/>
  <c r="F3760" i="91"/>
  <c r="G3760" i="91" s="1"/>
  <c r="E3759" i="91"/>
  <c r="E3758" i="91"/>
  <c r="E3757" i="91"/>
  <c r="F3757" i="91" s="1"/>
  <c r="G3757" i="91" s="1"/>
  <c r="E3756" i="91"/>
  <c r="F3756" i="91" s="1"/>
  <c r="G3756" i="91" s="1"/>
  <c r="E3754" i="91"/>
  <c r="F3754" i="91" s="1"/>
  <c r="G3754" i="91" s="1"/>
  <c r="E3753" i="91"/>
  <c r="F3751" i="91"/>
  <c r="G3751" i="91" s="1"/>
  <c r="F3750" i="91"/>
  <c r="G3750" i="91" s="1"/>
  <c r="F3749" i="91"/>
  <c r="G3749" i="91" s="1"/>
  <c r="F3748" i="91"/>
  <c r="G3748" i="91" s="1"/>
  <c r="E3747" i="91"/>
  <c r="F3747" i="91" s="1"/>
  <c r="G3747" i="91" s="1"/>
  <c r="F3746" i="91"/>
  <c r="G3746" i="91" s="1"/>
  <c r="F3745" i="91"/>
  <c r="G3745" i="91" s="1"/>
  <c r="F3744" i="91"/>
  <c r="G3744" i="91" s="1"/>
  <c r="E3743" i="91"/>
  <c r="F3743" i="91" s="1"/>
  <c r="G3743" i="91" s="1"/>
  <c r="F3742" i="91"/>
  <c r="G3742" i="91" s="1"/>
  <c r="F3741" i="91"/>
  <c r="G3741" i="91" s="1"/>
  <c r="F3740" i="91"/>
  <c r="G3740" i="91" s="1"/>
  <c r="E3739" i="91"/>
  <c r="F3739" i="91" s="1"/>
  <c r="G3739" i="91" s="1"/>
  <c r="F3738" i="91"/>
  <c r="G3738" i="91" s="1"/>
  <c r="F3737" i="91"/>
  <c r="G3737" i="91" s="1"/>
  <c r="F3736" i="91"/>
  <c r="G3736" i="91" s="1"/>
  <c r="E3735" i="91"/>
  <c r="F3735" i="91" s="1"/>
  <c r="G3735" i="91" s="1"/>
  <c r="F3734" i="91"/>
  <c r="G3734" i="91" s="1"/>
  <c r="F3733" i="91"/>
  <c r="G3733" i="91" s="1"/>
  <c r="E3732" i="91"/>
  <c r="F3732" i="91" s="1"/>
  <c r="G3732" i="91" s="1"/>
  <c r="F3731" i="91"/>
  <c r="G3731" i="91" s="1"/>
  <c r="F3730" i="91"/>
  <c r="G3730" i="91" s="1"/>
  <c r="E3729" i="91"/>
  <c r="F3729" i="91" s="1"/>
  <c r="G3729" i="91" s="1"/>
  <c r="F3728" i="91"/>
  <c r="G3728" i="91" s="1"/>
  <c r="E3727" i="91"/>
  <c r="F3727" i="91" s="1"/>
  <c r="G3727" i="91" s="1"/>
  <c r="F3726" i="91"/>
  <c r="G3726" i="91" s="1"/>
  <c r="F3725" i="91"/>
  <c r="G3725" i="91" s="1"/>
  <c r="F3724" i="91"/>
  <c r="G3724" i="91" s="1"/>
  <c r="F3723" i="91"/>
  <c r="G3723" i="91" s="1"/>
  <c r="F3722" i="91"/>
  <c r="G3722" i="91" s="1"/>
  <c r="E3716" i="91"/>
  <c r="F3716" i="91" s="1"/>
  <c r="G3716" i="91" s="1"/>
  <c r="F3715" i="91"/>
  <c r="G3715" i="91" s="1"/>
  <c r="E3714" i="91"/>
  <c r="F3714" i="91" s="1"/>
  <c r="G3714" i="91" s="1"/>
  <c r="F3712" i="91"/>
  <c r="G3712" i="91" s="1"/>
  <c r="F3711" i="91"/>
  <c r="G3711" i="91" s="1"/>
  <c r="F3709" i="91"/>
  <c r="G3709" i="91" s="1"/>
  <c r="E3708" i="91"/>
  <c r="F3707" i="91"/>
  <c r="G3707" i="91" s="1"/>
  <c r="F3706" i="91"/>
  <c r="G3706" i="91" s="1"/>
  <c r="F3705" i="91"/>
  <c r="G3705" i="91" s="1"/>
  <c r="E3704" i="91"/>
  <c r="F3704" i="91" s="1"/>
  <c r="G3704" i="91" s="1"/>
  <c r="F3703" i="91"/>
  <c r="G3703" i="91" s="1"/>
  <c r="E3702" i="91"/>
  <c r="F3702" i="91" s="1"/>
  <c r="G3702" i="91" s="1"/>
  <c r="F3701" i="91"/>
  <c r="G3701" i="91" s="1"/>
  <c r="E3700" i="91"/>
  <c r="F3700" i="91" s="1"/>
  <c r="G3700" i="91" s="1"/>
  <c r="F3699" i="91"/>
  <c r="G3699" i="91" s="1"/>
  <c r="E3698" i="91"/>
  <c r="F3697" i="91"/>
  <c r="G3697" i="91" s="1"/>
  <c r="F3696" i="91"/>
  <c r="G3696" i="91" s="1"/>
  <c r="F3695" i="91"/>
  <c r="G3695" i="91" s="1"/>
  <c r="E3694" i="91"/>
  <c r="F3694" i="91" s="1"/>
  <c r="G3694" i="91" s="1"/>
  <c r="F3693" i="91"/>
  <c r="G3693" i="91" s="1"/>
  <c r="E3692" i="91"/>
  <c r="F3692" i="91" s="1"/>
  <c r="G3692" i="91" s="1"/>
  <c r="F3691" i="91"/>
  <c r="G3691" i="91" s="1"/>
  <c r="E3690" i="91"/>
  <c r="F3690" i="91" s="1"/>
  <c r="G3690" i="91" s="1"/>
  <c r="F3689" i="91"/>
  <c r="G3689" i="91" s="1"/>
  <c r="F3688" i="91"/>
  <c r="G3688" i="91" s="1"/>
  <c r="F3687" i="91"/>
  <c r="G3687" i="91" s="1"/>
  <c r="E3686" i="91"/>
  <c r="F3686" i="91" s="1"/>
  <c r="G3686" i="91" s="1"/>
  <c r="F3685" i="91"/>
  <c r="G3685" i="91" s="1"/>
  <c r="F3684" i="91"/>
  <c r="G3684" i="91" s="1"/>
  <c r="E3683" i="91"/>
  <c r="F3683" i="91" s="1"/>
  <c r="G3683" i="91" s="1"/>
  <c r="F3682" i="91"/>
  <c r="G3682" i="91" s="1"/>
  <c r="F3681" i="91"/>
  <c r="G3681" i="91" s="1"/>
  <c r="F3680" i="91"/>
  <c r="G3680" i="91" s="1"/>
  <c r="E3679" i="91"/>
  <c r="F3679" i="91" s="1"/>
  <c r="G3679" i="91" s="1"/>
  <c r="F3678" i="91"/>
  <c r="G3678" i="91" s="1"/>
  <c r="E3677" i="91"/>
  <c r="F3677" i="91" s="1"/>
  <c r="G3677" i="91" s="1"/>
  <c r="F3676" i="91"/>
  <c r="G3676" i="91" s="1"/>
  <c r="F3675" i="91"/>
  <c r="G3675" i="91" s="1"/>
  <c r="E3674" i="91"/>
  <c r="F3674" i="91" s="1"/>
  <c r="G3674" i="91" s="1"/>
  <c r="F3673" i="91"/>
  <c r="G3673" i="91" s="1"/>
  <c r="F3672" i="91"/>
  <c r="G3672" i="91" s="1"/>
  <c r="F3671" i="91"/>
  <c r="G3671" i="91" s="1"/>
  <c r="F3670" i="91"/>
  <c r="G3670" i="91" s="1"/>
  <c r="E3667" i="91"/>
  <c r="F3667" i="91" s="1"/>
  <c r="G3667" i="91" s="1"/>
  <c r="E3665" i="91"/>
  <c r="E3663" i="91" s="1"/>
  <c r="F3663" i="91" s="1"/>
  <c r="G3663" i="91" s="1"/>
  <c r="F3664" i="91"/>
  <c r="G3664" i="91" s="1"/>
  <c r="E3662" i="91"/>
  <c r="F3661" i="91"/>
  <c r="G3661" i="91" s="1"/>
  <c r="F3660" i="91"/>
  <c r="G3660" i="91" s="1"/>
  <c r="F3658" i="91"/>
  <c r="G3658" i="91" s="1"/>
  <c r="F3657" i="91"/>
  <c r="G3657" i="91" s="1"/>
  <c r="E3656" i="91"/>
  <c r="F3656" i="91" s="1"/>
  <c r="G3656" i="91" s="1"/>
  <c r="F3655" i="91"/>
  <c r="G3655" i="91" s="1"/>
  <c r="E3654" i="91"/>
  <c r="F3654" i="91" s="1"/>
  <c r="G3654" i="91" s="1"/>
  <c r="F3653" i="91"/>
  <c r="G3653" i="91" s="1"/>
  <c r="F3652" i="91"/>
  <c r="G3652" i="91" s="1"/>
  <c r="F3650" i="91"/>
  <c r="G3650" i="91" s="1"/>
  <c r="E3649" i="91"/>
  <c r="F3649" i="91" s="1"/>
  <c r="G3649" i="91" s="1"/>
  <c r="F3648" i="91"/>
  <c r="G3648" i="91" s="1"/>
  <c r="E3647" i="91"/>
  <c r="F3647" i="91" s="1"/>
  <c r="G3647" i="91" s="1"/>
  <c r="E3645" i="91"/>
  <c r="F3645" i="91" s="1"/>
  <c r="G3645" i="91" s="1"/>
  <c r="F3643" i="91"/>
  <c r="G3643" i="91" s="1"/>
  <c r="F3642" i="91"/>
  <c r="G3642" i="91" s="1"/>
  <c r="F3641" i="91"/>
  <c r="G3641" i="91" s="1"/>
  <c r="F3640" i="91"/>
  <c r="G3640" i="91" s="1"/>
  <c r="E3639" i="91"/>
  <c r="F3639" i="91" s="1"/>
  <c r="G3639" i="91" s="1"/>
  <c r="F3638" i="91"/>
  <c r="G3638" i="91" s="1"/>
  <c r="E3637" i="91"/>
  <c r="F3637" i="91" s="1"/>
  <c r="G3637" i="91" s="1"/>
  <c r="F3636" i="91"/>
  <c r="G3636" i="91" s="1"/>
  <c r="E3635" i="91"/>
  <c r="F3635" i="91" s="1"/>
  <c r="G3635" i="91" s="1"/>
  <c r="F3634" i="91"/>
  <c r="G3634" i="91" s="1"/>
  <c r="E3633" i="91"/>
  <c r="F3633" i="91" s="1"/>
  <c r="G3633" i="91" s="1"/>
  <c r="F3632" i="91"/>
  <c r="G3632" i="91" s="1"/>
  <c r="F3631" i="91"/>
  <c r="G3631" i="91" s="1"/>
  <c r="F3630" i="91"/>
  <c r="G3630" i="91" s="1"/>
  <c r="E3629" i="91"/>
  <c r="F3629" i="91" s="1"/>
  <c r="G3629" i="91" s="1"/>
  <c r="E3628" i="91"/>
  <c r="F3628" i="91" s="1"/>
  <c r="G3628" i="91" s="1"/>
  <c r="E3627" i="91"/>
  <c r="F3627" i="91" s="1"/>
  <c r="G3627" i="91" s="1"/>
  <c r="E3626" i="91"/>
  <c r="F3624" i="91"/>
  <c r="G3624" i="91" s="1"/>
  <c r="E3623" i="91"/>
  <c r="F3623" i="91" s="1"/>
  <c r="G3623" i="91" s="1"/>
  <c r="F3622" i="91"/>
  <c r="G3622" i="91" s="1"/>
  <c r="F3621" i="91"/>
  <c r="G3621" i="91" s="1"/>
  <c r="F3620" i="91"/>
  <c r="G3620" i="91" s="1"/>
  <c r="E3619" i="91"/>
  <c r="F3619" i="91" s="1"/>
  <c r="G3619" i="91" s="1"/>
  <c r="F3618" i="91"/>
  <c r="G3618" i="91" s="1"/>
  <c r="E3617" i="91"/>
  <c r="F3617" i="91" s="1"/>
  <c r="G3617" i="91" s="1"/>
  <c r="F3616" i="91"/>
  <c r="G3616" i="91" s="1"/>
  <c r="E3615" i="91"/>
  <c r="F3615" i="91" s="1"/>
  <c r="G3615" i="91" s="1"/>
  <c r="F3614" i="91"/>
  <c r="G3614" i="91" s="1"/>
  <c r="F3613" i="91"/>
  <c r="G3613" i="91" s="1"/>
  <c r="F3612" i="91"/>
  <c r="G3612" i="91" s="1"/>
  <c r="E3611" i="91"/>
  <c r="F3611" i="91" s="1"/>
  <c r="G3611" i="91" s="1"/>
  <c r="F3610" i="91"/>
  <c r="G3610" i="91" s="1"/>
  <c r="F3609" i="91"/>
  <c r="G3609" i="91" s="1"/>
  <c r="F3608" i="91"/>
  <c r="G3608" i="91" s="1"/>
  <c r="E3607" i="91"/>
  <c r="F3607" i="91" s="1"/>
  <c r="G3607" i="91" s="1"/>
  <c r="F3606" i="91"/>
  <c r="G3606" i="91" s="1"/>
  <c r="F3605" i="91"/>
  <c r="G3605" i="91" s="1"/>
  <c r="E3604" i="91"/>
  <c r="F3604" i="91" s="1"/>
  <c r="G3604" i="91" s="1"/>
  <c r="F3603" i="91"/>
  <c r="G3603" i="91" s="1"/>
  <c r="E3602" i="91"/>
  <c r="F3602" i="91" s="1"/>
  <c r="G3602" i="91" s="1"/>
  <c r="F3601" i="91"/>
  <c r="G3601" i="91" s="1"/>
  <c r="F3600" i="91"/>
  <c r="G3600" i="91" s="1"/>
  <c r="E3597" i="91"/>
  <c r="E3596" i="91" s="1"/>
  <c r="F3595" i="91"/>
  <c r="G3595" i="91" s="1"/>
  <c r="E3594" i="91"/>
  <c r="F3594" i="91" s="1"/>
  <c r="G3594" i="91" s="1"/>
  <c r="F3593" i="91"/>
  <c r="G3593" i="91" s="1"/>
  <c r="F3592" i="91"/>
  <c r="G3592" i="91" s="1"/>
  <c r="F3590" i="91"/>
  <c r="G3590" i="91" s="1"/>
  <c r="E3589" i="91"/>
  <c r="E3588" i="91" s="1"/>
  <c r="F3588" i="91" s="1"/>
  <c r="G3588" i="91" s="1"/>
  <c r="F3587" i="91"/>
  <c r="G3587" i="91" s="1"/>
  <c r="E3586" i="91"/>
  <c r="F3585" i="91"/>
  <c r="G3585" i="91" s="1"/>
  <c r="E3584" i="91"/>
  <c r="F3584" i="91" s="1"/>
  <c r="G3584" i="91" s="1"/>
  <c r="E3583" i="91"/>
  <c r="F3583" i="91" s="1"/>
  <c r="G3583" i="91" s="1"/>
  <c r="F3582" i="91"/>
  <c r="G3582" i="91" s="1"/>
  <c r="F3580" i="91"/>
  <c r="G3580" i="91" s="1"/>
  <c r="F3579" i="91"/>
  <c r="G3579" i="91" s="1"/>
  <c r="F3578" i="91"/>
  <c r="G3578" i="91" s="1"/>
  <c r="E3577" i="91"/>
  <c r="F3577" i="91" s="1"/>
  <c r="G3577" i="91" s="1"/>
  <c r="F3576" i="91"/>
  <c r="G3576" i="91" s="1"/>
  <c r="F3575" i="91"/>
  <c r="G3575" i="91" s="1"/>
  <c r="E3574" i="91"/>
  <c r="F3574" i="91" s="1"/>
  <c r="G3574" i="91" s="1"/>
  <c r="F3573" i="91"/>
  <c r="G3573" i="91" s="1"/>
  <c r="F3572" i="91"/>
  <c r="G3572" i="91" s="1"/>
  <c r="F3571" i="91"/>
  <c r="G3571" i="91" s="1"/>
  <c r="F3570" i="91"/>
  <c r="G3570" i="91" s="1"/>
  <c r="E3569" i="91"/>
  <c r="F3569" i="91" s="1"/>
  <c r="G3569" i="91" s="1"/>
  <c r="F3568" i="91"/>
  <c r="G3568" i="91" s="1"/>
  <c r="E3567" i="91"/>
  <c r="F3567" i="91" s="1"/>
  <c r="G3567" i="91" s="1"/>
  <c r="F3566" i="91"/>
  <c r="G3566" i="91" s="1"/>
  <c r="F3565" i="91"/>
  <c r="G3565" i="91" s="1"/>
  <c r="E3564" i="91"/>
  <c r="F3564" i="91" s="1"/>
  <c r="G3564" i="91" s="1"/>
  <c r="F3563" i="91"/>
  <c r="G3563" i="91" s="1"/>
  <c r="E3562" i="91"/>
  <c r="F3562" i="91" s="1"/>
  <c r="G3562" i="91" s="1"/>
  <c r="F3561" i="91"/>
  <c r="G3561" i="91" s="1"/>
  <c r="F3560" i="91"/>
  <c r="G3560" i="91" s="1"/>
  <c r="F3559" i="91"/>
  <c r="G3559" i="91" s="1"/>
  <c r="F3556" i="91"/>
  <c r="G3556" i="91" s="1"/>
  <c r="F3555" i="91"/>
  <c r="G3555" i="91" s="1"/>
  <c r="E3554" i="91"/>
  <c r="F3554" i="91" s="1"/>
  <c r="G3554" i="91" s="1"/>
  <c r="F3553" i="91"/>
  <c r="G3553" i="91" s="1"/>
  <c r="E3552" i="91"/>
  <c r="F3552" i="91" s="1"/>
  <c r="G3552" i="91" s="1"/>
  <c r="F3551" i="91"/>
  <c r="G3551" i="91" s="1"/>
  <c r="F3550" i="91"/>
  <c r="G3550" i="91" s="1"/>
  <c r="F3548" i="91"/>
  <c r="G3548" i="91" s="1"/>
  <c r="E3547" i="91"/>
  <c r="F3547" i="91" s="1"/>
  <c r="G3547" i="91" s="1"/>
  <c r="F3546" i="91"/>
  <c r="G3546" i="91" s="1"/>
  <c r="E3545" i="91"/>
  <c r="F3544" i="91"/>
  <c r="G3544" i="91" s="1"/>
  <c r="E3543" i="91"/>
  <c r="F3543" i="91" s="1"/>
  <c r="G3543" i="91" s="1"/>
  <c r="F3542" i="91"/>
  <c r="G3542" i="91" s="1"/>
  <c r="F3541" i="91"/>
  <c r="G3541" i="91" s="1"/>
  <c r="F3540" i="91"/>
  <c r="G3540" i="91" s="1"/>
  <c r="E3539" i="91"/>
  <c r="F3539" i="91" s="1"/>
  <c r="G3539" i="91" s="1"/>
  <c r="F3538" i="91"/>
  <c r="G3538" i="91" s="1"/>
  <c r="E3537" i="91"/>
  <c r="F3537" i="91" s="1"/>
  <c r="G3537" i="91" s="1"/>
  <c r="F3536" i="91"/>
  <c r="G3536" i="91" s="1"/>
  <c r="F3535" i="91"/>
  <c r="G3535" i="91" s="1"/>
  <c r="E3534" i="91"/>
  <c r="F3534" i="91" s="1"/>
  <c r="G3534" i="91" s="1"/>
  <c r="F3533" i="91"/>
  <c r="G3533" i="91" s="1"/>
  <c r="F3532" i="91"/>
  <c r="G3532" i="91" s="1"/>
  <c r="F3531" i="91"/>
  <c r="G3531" i="91" s="1"/>
  <c r="E3530" i="91"/>
  <c r="F3530" i="91" s="1"/>
  <c r="G3530" i="91" s="1"/>
  <c r="F3529" i="91"/>
  <c r="G3529" i="91" s="1"/>
  <c r="F3528" i="91"/>
  <c r="G3528" i="91" s="1"/>
  <c r="F3527" i="91"/>
  <c r="G3527" i="91" s="1"/>
  <c r="F3525" i="91"/>
  <c r="G3525" i="91" s="1"/>
  <c r="E3524" i="91"/>
  <c r="F3524" i="91" s="1"/>
  <c r="G3524" i="91" s="1"/>
  <c r="F3523" i="91"/>
  <c r="G3523" i="91" s="1"/>
  <c r="E3522" i="91"/>
  <c r="F3521" i="91"/>
  <c r="G3521" i="91" s="1"/>
  <c r="F3520" i="91"/>
  <c r="G3520" i="91" s="1"/>
  <c r="E3519" i="91"/>
  <c r="F3519" i="91" s="1"/>
  <c r="G3519" i="91" s="1"/>
  <c r="F3518" i="91"/>
  <c r="G3518" i="91" s="1"/>
  <c r="E3517" i="91"/>
  <c r="F3517" i="91" s="1"/>
  <c r="G3517" i="91" s="1"/>
  <c r="F3516" i="91"/>
  <c r="G3516" i="91" s="1"/>
  <c r="E3515" i="91"/>
  <c r="F3515" i="91" s="1"/>
  <c r="G3515" i="91" s="1"/>
  <c r="F3514" i="91"/>
  <c r="G3514" i="91" s="1"/>
  <c r="F3513" i="91"/>
  <c r="G3513" i="91" s="1"/>
  <c r="F3512" i="91"/>
  <c r="G3512" i="91" s="1"/>
  <c r="E3511" i="91"/>
  <c r="F3511" i="91" s="1"/>
  <c r="G3511" i="91" s="1"/>
  <c r="F3510" i="91"/>
  <c r="G3510" i="91" s="1"/>
  <c r="F3509" i="91"/>
  <c r="G3509" i="91" s="1"/>
  <c r="E3508" i="91"/>
  <c r="F3508" i="91" s="1"/>
  <c r="G3508" i="91" s="1"/>
  <c r="F3507" i="91"/>
  <c r="G3507" i="91" s="1"/>
  <c r="F3506" i="91"/>
  <c r="G3506" i="91" s="1"/>
  <c r="F3505" i="91"/>
  <c r="G3505" i="91" s="1"/>
  <c r="F3504" i="91"/>
  <c r="G3504" i="91" s="1"/>
  <c r="E3503" i="91"/>
  <c r="F3503" i="91" s="1"/>
  <c r="G3503" i="91" s="1"/>
  <c r="F3502" i="91"/>
  <c r="G3502" i="91" s="1"/>
  <c r="F3501" i="91"/>
  <c r="G3501" i="91" s="1"/>
  <c r="F3500" i="91"/>
  <c r="G3500" i="91" s="1"/>
  <c r="E3499" i="91"/>
  <c r="F3499" i="91" s="1"/>
  <c r="G3499" i="91" s="1"/>
  <c r="F3498" i="91"/>
  <c r="G3498" i="91" s="1"/>
  <c r="F3497" i="91"/>
  <c r="G3497" i="91" s="1"/>
  <c r="F3496" i="91"/>
  <c r="G3496" i="91" s="1"/>
  <c r="E3495" i="91"/>
  <c r="F3495" i="91" s="1"/>
  <c r="G3495" i="91" s="1"/>
  <c r="F3494" i="91"/>
  <c r="G3494" i="91" s="1"/>
  <c r="F3493" i="91"/>
  <c r="G3493" i="91" s="1"/>
  <c r="F3492" i="91"/>
  <c r="G3492" i="91" s="1"/>
  <c r="E3491" i="91"/>
  <c r="F3491" i="91" s="1"/>
  <c r="G3491" i="91" s="1"/>
  <c r="F3490" i="91"/>
  <c r="G3490" i="91" s="1"/>
  <c r="F3489" i="91"/>
  <c r="G3489" i="91" s="1"/>
  <c r="E3488" i="91"/>
  <c r="F3488" i="91" s="1"/>
  <c r="G3488" i="91" s="1"/>
  <c r="F3487" i="91"/>
  <c r="G3487" i="91" s="1"/>
  <c r="F3486" i="91"/>
  <c r="G3486" i="91" s="1"/>
  <c r="E3485" i="91"/>
  <c r="F3485" i="91" s="1"/>
  <c r="G3485" i="91" s="1"/>
  <c r="F3484" i="91"/>
  <c r="G3484" i="91" s="1"/>
  <c r="E3483" i="91"/>
  <c r="C1570" i="3" s="1"/>
  <c r="F3482" i="91"/>
  <c r="G3482" i="91" s="1"/>
  <c r="F3481" i="91"/>
  <c r="G3481" i="91" s="1"/>
  <c r="F3470" i="91"/>
  <c r="G3470" i="91" s="1"/>
  <c r="E3469" i="91"/>
  <c r="F3468" i="91"/>
  <c r="G3468" i="91" s="1"/>
  <c r="E3467" i="91"/>
  <c r="F3466" i="91"/>
  <c r="G3466" i="91" s="1"/>
  <c r="E3465" i="91"/>
  <c r="F3464" i="91"/>
  <c r="G3464" i="91" s="1"/>
  <c r="F3463" i="91"/>
  <c r="G3463" i="91" s="1"/>
  <c r="E3462" i="91"/>
  <c r="F3461" i="91"/>
  <c r="G3461" i="91" s="1"/>
  <c r="F3460" i="91"/>
  <c r="G3460" i="91" s="1"/>
  <c r="F3459" i="91"/>
  <c r="G3459" i="91" s="1"/>
  <c r="F3458" i="91"/>
  <c r="G3458" i="91" s="1"/>
  <c r="E3457" i="91"/>
  <c r="F3456" i="91"/>
  <c r="G3456" i="91" s="1"/>
  <c r="F3455" i="91"/>
  <c r="G3455" i="91" s="1"/>
  <c r="F3454" i="91"/>
  <c r="G3454" i="91" s="1"/>
  <c r="E3453" i="91"/>
  <c r="F3452" i="91"/>
  <c r="G3452" i="91" s="1"/>
  <c r="F3451" i="91"/>
  <c r="G3451" i="91" s="1"/>
  <c r="E3450" i="91"/>
  <c r="F3449" i="91"/>
  <c r="G3449" i="91" s="1"/>
  <c r="F3447" i="91"/>
  <c r="G3447" i="91" s="1"/>
  <c r="E3446" i="91"/>
  <c r="F3445" i="91"/>
  <c r="G3445" i="91" s="1"/>
  <c r="F3444" i="91"/>
  <c r="G3444" i="91" s="1"/>
  <c r="F3441" i="91"/>
  <c r="G3441" i="91" s="1"/>
  <c r="E3440" i="91"/>
  <c r="F3439" i="91"/>
  <c r="G3439" i="91" s="1"/>
  <c r="E3438" i="91"/>
  <c r="F3437" i="91"/>
  <c r="G3437" i="91" s="1"/>
  <c r="E3436" i="91"/>
  <c r="F3435" i="91"/>
  <c r="G3435" i="91" s="1"/>
  <c r="F3434" i="91"/>
  <c r="G3434" i="91" s="1"/>
  <c r="E3433" i="91"/>
  <c r="F3432" i="91"/>
  <c r="G3432" i="91" s="1"/>
  <c r="F3431" i="91"/>
  <c r="G3431" i="91" s="1"/>
  <c r="E3430" i="91"/>
  <c r="F3429" i="91"/>
  <c r="G3429" i="91" s="1"/>
  <c r="F3428" i="91"/>
  <c r="G3428" i="91" s="1"/>
  <c r="F3427" i="91"/>
  <c r="G3427" i="91" s="1"/>
  <c r="F3426" i="91"/>
  <c r="G3426" i="91" s="1"/>
  <c r="E3425" i="91"/>
  <c r="F3424" i="91"/>
  <c r="G3424" i="91" s="1"/>
  <c r="F3423" i="91"/>
  <c r="G3423" i="91" s="1"/>
  <c r="E3422" i="91"/>
  <c r="F3421" i="91"/>
  <c r="G3421" i="91" s="1"/>
  <c r="F3420" i="91"/>
  <c r="G3420" i="91" s="1"/>
  <c r="F3419" i="91"/>
  <c r="G3419" i="91" s="1"/>
  <c r="F3418" i="91"/>
  <c r="G3418" i="91" s="1"/>
  <c r="E3417" i="91"/>
  <c r="F3416" i="91"/>
  <c r="G3416" i="91" s="1"/>
  <c r="E3415" i="91"/>
  <c r="F3414" i="91"/>
  <c r="G3414" i="91" s="1"/>
  <c r="F3413" i="91"/>
  <c r="G3413" i="91" s="1"/>
  <c r="E3411" i="91"/>
  <c r="C1441" i="3" s="1"/>
  <c r="D1441" i="3" s="1"/>
  <c r="F3410" i="91"/>
  <c r="G3410" i="91" s="1"/>
  <c r="F3409" i="91"/>
  <c r="G3409" i="91" s="1"/>
  <c r="F3407" i="91"/>
  <c r="G3407" i="91" s="1"/>
  <c r="F3405" i="91"/>
  <c r="G3405" i="91" s="1"/>
  <c r="E3404" i="91"/>
  <c r="F3404" i="91" s="1"/>
  <c r="G3404" i="91" s="1"/>
  <c r="E3403" i="91"/>
  <c r="F3403" i="91" s="1"/>
  <c r="G3403" i="91" s="1"/>
  <c r="F3401" i="91"/>
  <c r="G3401" i="91" s="1"/>
  <c r="E3400" i="91"/>
  <c r="F3399" i="91"/>
  <c r="G3399" i="91" s="1"/>
  <c r="F3398" i="91"/>
  <c r="G3398" i="91" s="1"/>
  <c r="E3397" i="91"/>
  <c r="F3397" i="91" s="1"/>
  <c r="G3397" i="91" s="1"/>
  <c r="F3396" i="91"/>
  <c r="G3396" i="91" s="1"/>
  <c r="E3395" i="91"/>
  <c r="F3395" i="91" s="1"/>
  <c r="G3395" i="91" s="1"/>
  <c r="F3394" i="91"/>
  <c r="G3394" i="91" s="1"/>
  <c r="E3393" i="91"/>
  <c r="F3393" i="91" s="1"/>
  <c r="G3393" i="91" s="1"/>
  <c r="F3392" i="91"/>
  <c r="G3392" i="91" s="1"/>
  <c r="F3391" i="91"/>
  <c r="G3391" i="91" s="1"/>
  <c r="F3390" i="91"/>
  <c r="G3390" i="91" s="1"/>
  <c r="E3389" i="91"/>
  <c r="F3389" i="91" s="1"/>
  <c r="G3389" i="91" s="1"/>
  <c r="F3388" i="91"/>
  <c r="G3388" i="91" s="1"/>
  <c r="F3387" i="91"/>
  <c r="G3387" i="91" s="1"/>
  <c r="F3386" i="91"/>
  <c r="G3386" i="91" s="1"/>
  <c r="F3385" i="91"/>
  <c r="G3385" i="91" s="1"/>
  <c r="F3384" i="91"/>
  <c r="G3384" i="91" s="1"/>
  <c r="E3383" i="91"/>
  <c r="F3383" i="91" s="1"/>
  <c r="G3383" i="91" s="1"/>
  <c r="F3382" i="91"/>
  <c r="G3382" i="91" s="1"/>
  <c r="F3381" i="91"/>
  <c r="G3381" i="91" s="1"/>
  <c r="F3380" i="91"/>
  <c r="G3380" i="91" s="1"/>
  <c r="E3379" i="91"/>
  <c r="F3379" i="91" s="1"/>
  <c r="G3379" i="91" s="1"/>
  <c r="F3378" i="91"/>
  <c r="G3378" i="91" s="1"/>
  <c r="E3377" i="91"/>
  <c r="F3377" i="91" s="1"/>
  <c r="G3377" i="91" s="1"/>
  <c r="E3376" i="91"/>
  <c r="F3376" i="91" s="1"/>
  <c r="G3376" i="91" s="1"/>
  <c r="E3375" i="91"/>
  <c r="F3375" i="91" s="1"/>
  <c r="G3375" i="91" s="1"/>
  <c r="F3373" i="91"/>
  <c r="G3373" i="91" s="1"/>
  <c r="E3372" i="91"/>
  <c r="F3372" i="91" s="1"/>
  <c r="G3372" i="91" s="1"/>
  <c r="F3371" i="91"/>
  <c r="G3371" i="91" s="1"/>
  <c r="F3370" i="91"/>
  <c r="G3370" i="91" s="1"/>
  <c r="E3369" i="91"/>
  <c r="F3369" i="91" s="1"/>
  <c r="G3369" i="91" s="1"/>
  <c r="F3368" i="91"/>
  <c r="G3368" i="91" s="1"/>
  <c r="F3367" i="91"/>
  <c r="G3367" i="91" s="1"/>
  <c r="F3366" i="91"/>
  <c r="G3366" i="91" s="1"/>
  <c r="F3365" i="91"/>
  <c r="G3365" i="91" s="1"/>
  <c r="F3361" i="91"/>
  <c r="G3361" i="91" s="1"/>
  <c r="E3360" i="91"/>
  <c r="F3359" i="91"/>
  <c r="G3359" i="91" s="1"/>
  <c r="E3358" i="91"/>
  <c r="F3357" i="91"/>
  <c r="G3357" i="91" s="1"/>
  <c r="E3356" i="91"/>
  <c r="F3355" i="91"/>
  <c r="G3355" i="91" s="1"/>
  <c r="F3354" i="91"/>
  <c r="G3354" i="91" s="1"/>
  <c r="F3353" i="91"/>
  <c r="G3353" i="91" s="1"/>
  <c r="E3352" i="91"/>
  <c r="E3351" i="91"/>
  <c r="F3350" i="91"/>
  <c r="G3350" i="91" s="1"/>
  <c r="F3348" i="91"/>
  <c r="G3348" i="91" s="1"/>
  <c r="E3347" i="91"/>
  <c r="E3346" i="91"/>
  <c r="F3345" i="91"/>
  <c r="G3345" i="91" s="1"/>
  <c r="F3344" i="91"/>
  <c r="G3344" i="91" s="1"/>
  <c r="F3342" i="91"/>
  <c r="G3342" i="91" s="1"/>
  <c r="E3341" i="91"/>
  <c r="F3340" i="91"/>
  <c r="G3340" i="91" s="1"/>
  <c r="F3339" i="91"/>
  <c r="G3339" i="91" s="1"/>
  <c r="F3338" i="91"/>
  <c r="G3338" i="91" s="1"/>
  <c r="F3336" i="91"/>
  <c r="G3336" i="91" s="1"/>
  <c r="E3335" i="91"/>
  <c r="F3333" i="91"/>
  <c r="G3333" i="91" s="1"/>
  <c r="F3332" i="91"/>
  <c r="G3332" i="91" s="1"/>
  <c r="F3331" i="91"/>
  <c r="G3331" i="91" s="1"/>
  <c r="E3330" i="91"/>
  <c r="F3329" i="91"/>
  <c r="G3329" i="91" s="1"/>
  <c r="E3328" i="91"/>
  <c r="F3327" i="91"/>
  <c r="G3327" i="91" s="1"/>
  <c r="F3326" i="91"/>
  <c r="G3326" i="91" s="1"/>
  <c r="F3325" i="91"/>
  <c r="G3325" i="91" s="1"/>
  <c r="E3324" i="91"/>
  <c r="F3323" i="91"/>
  <c r="G3323" i="91" s="1"/>
  <c r="F3322" i="91"/>
  <c r="G3322" i="91" s="1"/>
  <c r="E3321" i="91"/>
  <c r="F3320" i="91"/>
  <c r="G3320" i="91" s="1"/>
  <c r="E3319" i="91"/>
  <c r="E3318" i="91"/>
  <c r="E3316" i="91"/>
  <c r="F3315" i="91"/>
  <c r="G3315" i="91" s="1"/>
  <c r="E3313" i="91"/>
  <c r="E3312" i="91"/>
  <c r="F3311" i="91"/>
  <c r="G3311" i="91" s="1"/>
  <c r="F3309" i="91"/>
  <c r="G3309" i="91" s="1"/>
  <c r="F3308" i="91"/>
  <c r="G3308" i="91" s="1"/>
  <c r="F3307" i="91"/>
  <c r="G3307" i="91" s="1"/>
  <c r="E3306" i="91"/>
  <c r="F3305" i="91"/>
  <c r="G3305" i="91" s="1"/>
  <c r="E3304" i="91"/>
  <c r="E3303" i="91"/>
  <c r="E3302" i="91"/>
  <c r="F3300" i="91"/>
  <c r="G3300" i="91" s="1"/>
  <c r="F3299" i="91"/>
  <c r="G3299" i="91" s="1"/>
  <c r="E3298" i="91"/>
  <c r="F3297" i="91"/>
  <c r="G3297" i="91" s="1"/>
  <c r="F3296" i="91"/>
  <c r="G3296" i="91" s="1"/>
  <c r="F3293" i="91"/>
  <c r="G3293" i="91" s="1"/>
  <c r="E3292" i="91"/>
  <c r="F3291" i="91"/>
  <c r="G3291" i="91" s="1"/>
  <c r="E3290" i="91"/>
  <c r="F3289" i="91"/>
  <c r="G3289" i="91" s="1"/>
  <c r="E3288" i="91"/>
  <c r="F3287" i="91"/>
  <c r="G3287" i="91" s="1"/>
  <c r="F3286" i="91"/>
  <c r="G3286" i="91" s="1"/>
  <c r="E3285" i="91"/>
  <c r="F3284" i="91"/>
  <c r="G3284" i="91" s="1"/>
  <c r="F3283" i="91"/>
  <c r="G3283" i="91" s="1"/>
  <c r="E3282" i="91"/>
  <c r="F3281" i="91"/>
  <c r="G3281" i="91" s="1"/>
  <c r="F3280" i="91"/>
  <c r="G3280" i="91" s="1"/>
  <c r="E3279" i="91"/>
  <c r="F3278" i="91"/>
  <c r="G3278" i="91" s="1"/>
  <c r="E3277" i="91"/>
  <c r="F3276" i="91"/>
  <c r="G3276" i="91" s="1"/>
  <c r="E3275" i="91"/>
  <c r="F3274" i="91"/>
  <c r="G3274" i="91" s="1"/>
  <c r="F3272" i="91"/>
  <c r="G3272" i="91" s="1"/>
  <c r="E3271" i="91"/>
  <c r="G3270" i="91"/>
  <c r="F3269" i="91"/>
  <c r="G3269" i="91" s="1"/>
  <c r="F3266" i="91"/>
  <c r="G3266" i="91" s="1"/>
  <c r="E3265" i="91"/>
  <c r="F3264" i="91"/>
  <c r="G3264" i="91" s="1"/>
  <c r="F3263" i="91"/>
  <c r="G3263" i="91" s="1"/>
  <c r="E3262" i="91"/>
  <c r="F3261" i="91"/>
  <c r="G3261" i="91" s="1"/>
  <c r="F3260" i="91"/>
  <c r="G3260" i="91" s="1"/>
  <c r="E3259" i="91"/>
  <c r="E3258" i="91"/>
  <c r="F3257" i="91"/>
  <c r="G3257" i="91" s="1"/>
  <c r="F3256" i="91"/>
  <c r="G3256" i="91" s="1"/>
  <c r="E3254" i="91"/>
  <c r="F3252" i="91"/>
  <c r="G3252" i="91" s="1"/>
  <c r="F3251" i="91"/>
  <c r="G3251" i="91" s="1"/>
  <c r="F3250" i="91"/>
  <c r="G3250" i="91" s="1"/>
  <c r="E3249" i="91"/>
  <c r="F3248" i="91"/>
  <c r="G3248" i="91" s="1"/>
  <c r="E3247" i="91"/>
  <c r="F3246" i="91"/>
  <c r="G3246" i="91" s="1"/>
  <c r="F3245" i="91"/>
  <c r="G3245" i="91" s="1"/>
  <c r="F3244" i="91"/>
  <c r="G3244" i="91" s="1"/>
  <c r="E3243" i="91"/>
  <c r="F3242" i="91"/>
  <c r="G3242" i="91" s="1"/>
  <c r="F3241" i="91"/>
  <c r="G3241" i="91" s="1"/>
  <c r="E3240" i="91"/>
  <c r="F3238" i="91"/>
  <c r="G3238" i="91" s="1"/>
  <c r="F3237" i="91"/>
  <c r="G3237" i="91" s="1"/>
  <c r="F3236" i="91"/>
  <c r="G3236" i="91" s="1"/>
  <c r="F3235" i="91"/>
  <c r="G3235" i="91" s="1"/>
  <c r="F3234" i="91"/>
  <c r="G3234" i="91" s="1"/>
  <c r="E3233" i="91"/>
  <c r="F3232" i="91"/>
  <c r="G3232" i="91" s="1"/>
  <c r="E3231" i="91"/>
  <c r="F3230" i="91"/>
  <c r="G3230" i="91" s="1"/>
  <c r="E3229" i="91"/>
  <c r="F3228" i="91"/>
  <c r="G3228" i="91" s="1"/>
  <c r="F3227" i="91"/>
  <c r="G3227" i="91" s="1"/>
  <c r="F3226" i="91"/>
  <c r="G3226" i="91" s="1"/>
  <c r="E3224" i="91"/>
  <c r="F3223" i="91"/>
  <c r="G3223" i="91" s="1"/>
  <c r="F3222" i="91"/>
  <c r="G3222" i="91" s="1"/>
  <c r="F3221" i="91"/>
  <c r="G3221" i="91" s="1"/>
  <c r="F3219" i="91"/>
  <c r="G3219" i="91" s="1"/>
  <c r="E3218" i="91"/>
  <c r="F3217" i="91"/>
  <c r="G3217" i="91" s="1"/>
  <c r="F3216" i="91"/>
  <c r="G3216" i="91" s="1"/>
  <c r="F3215" i="91"/>
  <c r="G3215" i="91" s="1"/>
  <c r="E3214" i="91"/>
  <c r="F3213" i="91"/>
  <c r="G3213" i="91" s="1"/>
  <c r="E3212" i="91"/>
  <c r="F3211" i="91"/>
  <c r="G3211" i="91" s="1"/>
  <c r="F3210" i="91"/>
  <c r="G3210" i="91" s="1"/>
  <c r="E3209" i="91"/>
  <c r="F3208" i="91"/>
  <c r="G3208" i="91" s="1"/>
  <c r="E3207" i="91"/>
  <c r="E3206" i="91"/>
  <c r="F3204" i="91"/>
  <c r="G3204" i="91" s="1"/>
  <c r="F3203" i="91"/>
  <c r="G3203" i="91" s="1"/>
  <c r="E3202" i="91"/>
  <c r="E3200" i="91"/>
  <c r="F3199" i="91"/>
  <c r="G3199" i="91" s="1"/>
  <c r="F3197" i="91"/>
  <c r="G3197" i="91" s="1"/>
  <c r="F3196" i="91"/>
  <c r="G3196" i="91" s="1"/>
  <c r="F3195" i="91"/>
  <c r="G3195" i="91" s="1"/>
  <c r="F3194" i="91"/>
  <c r="G3194" i="91" s="1"/>
  <c r="F3193" i="91"/>
  <c r="G3193" i="91" s="1"/>
  <c r="E3192" i="91"/>
  <c r="F3191" i="91"/>
  <c r="G3191" i="91" s="1"/>
  <c r="E3190" i="91"/>
  <c r="E3189" i="91"/>
  <c r="F3187" i="91"/>
  <c r="G3187" i="91" s="1"/>
  <c r="E3186" i="91"/>
  <c r="F3185" i="91"/>
  <c r="G3185" i="91" s="1"/>
  <c r="F3184" i="91"/>
  <c r="G3184" i="91" s="1"/>
  <c r="F3183" i="91"/>
  <c r="G3183" i="91" s="1"/>
  <c r="F3182" i="91"/>
  <c r="G3182" i="91" s="1"/>
  <c r="E3181" i="91"/>
  <c r="F3180" i="91"/>
  <c r="G3180" i="91" s="1"/>
  <c r="F3179" i="91"/>
  <c r="G3179" i="91" s="1"/>
  <c r="F3178" i="91"/>
  <c r="G3178" i="91" s="1"/>
  <c r="E3177" i="91"/>
  <c r="F3176" i="91"/>
  <c r="G3176" i="91" s="1"/>
  <c r="F3175" i="91"/>
  <c r="G3175" i="91" s="1"/>
  <c r="E3174" i="91"/>
  <c r="F3173" i="91"/>
  <c r="G3173" i="91" s="1"/>
  <c r="E3172" i="91"/>
  <c r="E3171" i="91"/>
  <c r="E3155" i="91"/>
  <c r="F3153" i="91"/>
  <c r="G3153" i="91" s="1"/>
  <c r="F3152" i="91"/>
  <c r="G3152" i="91" s="1"/>
  <c r="E3151" i="91"/>
  <c r="F3151" i="91" s="1"/>
  <c r="G3151" i="91" s="1"/>
  <c r="F3150" i="91"/>
  <c r="G3150" i="91" s="1"/>
  <c r="E3149" i="91"/>
  <c r="F3149" i="91" s="1"/>
  <c r="G3149" i="91" s="1"/>
  <c r="F3148" i="91"/>
  <c r="G3148" i="91" s="1"/>
  <c r="F3147" i="91"/>
  <c r="G3147" i="91" s="1"/>
  <c r="E3146" i="91"/>
  <c r="F3146" i="91" s="1"/>
  <c r="G3146" i="91" s="1"/>
  <c r="F3145" i="91"/>
  <c r="G3145" i="91" s="1"/>
  <c r="E3144" i="91"/>
  <c r="F3144" i="91" s="1"/>
  <c r="G3144" i="91" s="1"/>
  <c r="F3143" i="91"/>
  <c r="G3143" i="91" s="1"/>
  <c r="E3142" i="91"/>
  <c r="F3142" i="91" s="1"/>
  <c r="G3142" i="91" s="1"/>
  <c r="F3141" i="91"/>
  <c r="G3141" i="91" s="1"/>
  <c r="F3140" i="91"/>
  <c r="G3140" i="91" s="1"/>
  <c r="F3139" i="91"/>
  <c r="G3139" i="91" s="1"/>
  <c r="F3136" i="91"/>
  <c r="G3136" i="91" s="1"/>
  <c r="E3135" i="91"/>
  <c r="F3134" i="91"/>
  <c r="G3134" i="91" s="1"/>
  <c r="E3133" i="91"/>
  <c r="F3133" i="91" s="1"/>
  <c r="G3133" i="91" s="1"/>
  <c r="E3132" i="91"/>
  <c r="F3132" i="91" s="1"/>
  <c r="G3132" i="91" s="1"/>
  <c r="E3130" i="91"/>
  <c r="F3130" i="91" s="1"/>
  <c r="G3130" i="91" s="1"/>
  <c r="F3129" i="91"/>
  <c r="G3129" i="91" s="1"/>
  <c r="E3127" i="91"/>
  <c r="F3127" i="91" s="1"/>
  <c r="G3127" i="91" s="1"/>
  <c r="E3126" i="91"/>
  <c r="E3125" i="91"/>
  <c r="F3125" i="91" s="1"/>
  <c r="G3125" i="91" s="1"/>
  <c r="E3123" i="91"/>
  <c r="E3122" i="91" s="1"/>
  <c r="F3122" i="91" s="1"/>
  <c r="G3122" i="91" s="1"/>
  <c r="F3121" i="91"/>
  <c r="G3121" i="91" s="1"/>
  <c r="F3120" i="91"/>
  <c r="G3120" i="91" s="1"/>
  <c r="F3119" i="91"/>
  <c r="G3119" i="91" s="1"/>
  <c r="F3118" i="91"/>
  <c r="G3118" i="91" s="1"/>
  <c r="E3117" i="91"/>
  <c r="F3117" i="91" s="1"/>
  <c r="G3117" i="91" s="1"/>
  <c r="E3116" i="91"/>
  <c r="F3116" i="91" s="1"/>
  <c r="G3116" i="91" s="1"/>
  <c r="E3115" i="91"/>
  <c r="F3115" i="91" s="1"/>
  <c r="G3115" i="91" s="1"/>
  <c r="E3114" i="91"/>
  <c r="F3112" i="91"/>
  <c r="G3112" i="91" s="1"/>
  <c r="E3111" i="91"/>
  <c r="E3110" i="91" s="1"/>
  <c r="F3110" i="91" s="1"/>
  <c r="G3110" i="91" s="1"/>
  <c r="F3109" i="91"/>
  <c r="G3109" i="91" s="1"/>
  <c r="F3108" i="91"/>
  <c r="G3108" i="91" s="1"/>
  <c r="F3107" i="91"/>
  <c r="G3107" i="91" s="1"/>
  <c r="F3106" i="91"/>
  <c r="G3106" i="91" s="1"/>
  <c r="F3103" i="91"/>
  <c r="G3103" i="91" s="1"/>
  <c r="E3102" i="91"/>
  <c r="F3102" i="91" s="1"/>
  <c r="G3102" i="91" s="1"/>
  <c r="F3101" i="91"/>
  <c r="G3101" i="91" s="1"/>
  <c r="E3100" i="91"/>
  <c r="F3099" i="91"/>
  <c r="G3099" i="91" s="1"/>
  <c r="F3098" i="91"/>
  <c r="G3098" i="91" s="1"/>
  <c r="F3097" i="91"/>
  <c r="G3097" i="91" s="1"/>
  <c r="E3095" i="91"/>
  <c r="F3095" i="91" s="1"/>
  <c r="G3095" i="91" s="1"/>
  <c r="F3093" i="91"/>
  <c r="G3093" i="91" s="1"/>
  <c r="F3092" i="91"/>
  <c r="G3092" i="91" s="1"/>
  <c r="E3091" i="91"/>
  <c r="E3090" i="91"/>
  <c r="F3090" i="91" s="1"/>
  <c r="G3090" i="91" s="1"/>
  <c r="E3088" i="91"/>
  <c r="F3088" i="91" s="1"/>
  <c r="G3088" i="91" s="1"/>
  <c r="E3086" i="91"/>
  <c r="F3086" i="91" s="1"/>
  <c r="G3086" i="91" s="1"/>
  <c r="F3084" i="91"/>
  <c r="G3084" i="91" s="1"/>
  <c r="F3083" i="91"/>
  <c r="G3083" i="91" s="1"/>
  <c r="E3082" i="91"/>
  <c r="F3082" i="91" s="1"/>
  <c r="G3082" i="91" s="1"/>
  <c r="F3081" i="91"/>
  <c r="G3081" i="91" s="1"/>
  <c r="E3080" i="91"/>
  <c r="F3078" i="91"/>
  <c r="G3078" i="91" s="1"/>
  <c r="E3077" i="91"/>
  <c r="E3076" i="91" s="1"/>
  <c r="F3076" i="91" s="1"/>
  <c r="G3076" i="91" s="1"/>
  <c r="E3075" i="91"/>
  <c r="E3074" i="91"/>
  <c r="F3074" i="91" s="1"/>
  <c r="G3074" i="91" s="1"/>
  <c r="F3073" i="91"/>
  <c r="G3073" i="91" s="1"/>
  <c r="E3071" i="91"/>
  <c r="F3071" i="91" s="1"/>
  <c r="G3071" i="91" s="1"/>
  <c r="E3070" i="91"/>
  <c r="F3070" i="91" s="1"/>
  <c r="G3070" i="91" s="1"/>
  <c r="E3069" i="91"/>
  <c r="F3069" i="91" s="1"/>
  <c r="G3069" i="91" s="1"/>
  <c r="F3067" i="91"/>
  <c r="G3067" i="91" s="1"/>
  <c r="E3066" i="91"/>
  <c r="F3066" i="91" s="1"/>
  <c r="G3066" i="91" s="1"/>
  <c r="F3064" i="91"/>
  <c r="G3064" i="91" s="1"/>
  <c r="F3063" i="91"/>
  <c r="G3063" i="91" s="1"/>
  <c r="F3062" i="91"/>
  <c r="G3062" i="91" s="1"/>
  <c r="E3060" i="91"/>
  <c r="C1341" i="3" s="1"/>
  <c r="F3059" i="91"/>
  <c r="G3059" i="91" s="1"/>
  <c r="F3058" i="91"/>
  <c r="G3058" i="91" s="1"/>
  <c r="F3057" i="91"/>
  <c r="G3057" i="91" s="1"/>
  <c r="F3055" i="91"/>
  <c r="G3055" i="91" s="1"/>
  <c r="E3054" i="91"/>
  <c r="F3054" i="91" s="1"/>
  <c r="G3054" i="91" s="1"/>
  <c r="E3053" i="91"/>
  <c r="F3053" i="91" s="1"/>
  <c r="G3053" i="91" s="1"/>
  <c r="E3052" i="91"/>
  <c r="F3050" i="91"/>
  <c r="G3050" i="91" s="1"/>
  <c r="F3049" i="91"/>
  <c r="G3049" i="91" s="1"/>
  <c r="E3048" i="91"/>
  <c r="F3048" i="91" s="1"/>
  <c r="G3048" i="91" s="1"/>
  <c r="E3047" i="91"/>
  <c r="F3047" i="91" s="1"/>
  <c r="G3047" i="91" s="1"/>
  <c r="F3045" i="91"/>
  <c r="G3045" i="91" s="1"/>
  <c r="E3044" i="91"/>
  <c r="F3044" i="91" s="1"/>
  <c r="G3044" i="91" s="1"/>
  <c r="F3043" i="91"/>
  <c r="G3043" i="91" s="1"/>
  <c r="E3042" i="91"/>
  <c r="F3042" i="91" s="1"/>
  <c r="G3042" i="91" s="1"/>
  <c r="F3041" i="91"/>
  <c r="G3041" i="91" s="1"/>
  <c r="E3040" i="91"/>
  <c r="F3040" i="91" s="1"/>
  <c r="G3040" i="91" s="1"/>
  <c r="E3039" i="91"/>
  <c r="F3039" i="91" s="1"/>
  <c r="G3039" i="91" s="1"/>
  <c r="F3038" i="91"/>
  <c r="G3038" i="91" s="1"/>
  <c r="F3036" i="91"/>
  <c r="G3036" i="91" s="1"/>
  <c r="F3035" i="91"/>
  <c r="G3035" i="91" s="1"/>
  <c r="F3034" i="91"/>
  <c r="G3034" i="91" s="1"/>
  <c r="F3033" i="91"/>
  <c r="G3033" i="91" s="1"/>
  <c r="F3032" i="91"/>
  <c r="G3032" i="91" s="1"/>
  <c r="E3031" i="91"/>
  <c r="E3029" i="91" s="1"/>
  <c r="F3029" i="91" s="1"/>
  <c r="G3029" i="91" s="1"/>
  <c r="F3030" i="91"/>
  <c r="G3030" i="91" s="1"/>
  <c r="F3028" i="91"/>
  <c r="G3028" i="91" s="1"/>
  <c r="F3027" i="91"/>
  <c r="G3027" i="91" s="1"/>
  <c r="E3026" i="91"/>
  <c r="F3026" i="91" s="1"/>
  <c r="G3026" i="91" s="1"/>
  <c r="F3025" i="91"/>
  <c r="G3025" i="91" s="1"/>
  <c r="F3024" i="91"/>
  <c r="G3024" i="91" s="1"/>
  <c r="F3023" i="91"/>
  <c r="G3023" i="91" s="1"/>
  <c r="E3022" i="91"/>
  <c r="F3022" i="91" s="1"/>
  <c r="G3022" i="91" s="1"/>
  <c r="E3021" i="91"/>
  <c r="F3021" i="91" s="1"/>
  <c r="G3021" i="91" s="1"/>
  <c r="E3020" i="91"/>
  <c r="F3018" i="91"/>
  <c r="G3018" i="91" s="1"/>
  <c r="F3017" i="91"/>
  <c r="G3017" i="91" s="1"/>
  <c r="F3016" i="91"/>
  <c r="G3016" i="91" s="1"/>
  <c r="F3015" i="91"/>
  <c r="G3015" i="91" s="1"/>
  <c r="F3014" i="91"/>
  <c r="G3014" i="91" s="1"/>
  <c r="E3009" i="91"/>
  <c r="F3008" i="91"/>
  <c r="G3008" i="91" s="1"/>
  <c r="F3007" i="91"/>
  <c r="G3007" i="91" s="1"/>
  <c r="F3006" i="91"/>
  <c r="G3006" i="91" s="1"/>
  <c r="F3005" i="91"/>
  <c r="G3005" i="91" s="1"/>
  <c r="F3003" i="91"/>
  <c r="G3003" i="91" s="1"/>
  <c r="E3002" i="91"/>
  <c r="F3002" i="91" s="1"/>
  <c r="G3002" i="91" s="1"/>
  <c r="E3001" i="91"/>
  <c r="F3001" i="91" s="1"/>
  <c r="G3001" i="91" s="1"/>
  <c r="F2999" i="91"/>
  <c r="G2999" i="91" s="1"/>
  <c r="E2998" i="91"/>
  <c r="F2998" i="91" s="1"/>
  <c r="G2998" i="91" s="1"/>
  <c r="E2997" i="91"/>
  <c r="E2996" i="91" s="1"/>
  <c r="F2996" i="91" s="1"/>
  <c r="G2996" i="91" s="1"/>
  <c r="F2995" i="91"/>
  <c r="G2995" i="91" s="1"/>
  <c r="E2994" i="91"/>
  <c r="F2994" i="91" s="1"/>
  <c r="G2994" i="91" s="1"/>
  <c r="F2993" i="91"/>
  <c r="G2993" i="91" s="1"/>
  <c r="E2992" i="91"/>
  <c r="F2992" i="91" s="1"/>
  <c r="G2992" i="91" s="1"/>
  <c r="F2991" i="91"/>
  <c r="G2991" i="91" s="1"/>
  <c r="F2990" i="91"/>
  <c r="G2990" i="91" s="1"/>
  <c r="F2989" i="91"/>
  <c r="G2989" i="91" s="1"/>
  <c r="E2988" i="91"/>
  <c r="F2987" i="91"/>
  <c r="G2987" i="91" s="1"/>
  <c r="E2986" i="91"/>
  <c r="F2986" i="91" s="1"/>
  <c r="G2986" i="91" s="1"/>
  <c r="F2985" i="91"/>
  <c r="G2985" i="91" s="1"/>
  <c r="F2984" i="91"/>
  <c r="G2984" i="91" s="1"/>
  <c r="E2983" i="91"/>
  <c r="F2983" i="91" s="1"/>
  <c r="G2983" i="91" s="1"/>
  <c r="F2982" i="91"/>
  <c r="G2982" i="91" s="1"/>
  <c r="F2981" i="91"/>
  <c r="G2981" i="91" s="1"/>
  <c r="F2979" i="91"/>
  <c r="G2979" i="91" s="1"/>
  <c r="F2977" i="91"/>
  <c r="G2977" i="91" s="1"/>
  <c r="F2976" i="91"/>
  <c r="G2976" i="91" s="1"/>
  <c r="E2975" i="91"/>
  <c r="F2975" i="91" s="1"/>
  <c r="G2975" i="91" s="1"/>
  <c r="E2974" i="91"/>
  <c r="F2974" i="91" s="1"/>
  <c r="G2974" i="91" s="1"/>
  <c r="E2972" i="91"/>
  <c r="E2971" i="91" s="1"/>
  <c r="F2971" i="91" s="1"/>
  <c r="G2971" i="91" s="1"/>
  <c r="E2970" i="91"/>
  <c r="E2968" i="91"/>
  <c r="E2966" i="91" s="1"/>
  <c r="F2966" i="91" s="1"/>
  <c r="G2966" i="91" s="1"/>
  <c r="F2967" i="91"/>
  <c r="G2967" i="91" s="1"/>
  <c r="F2965" i="91"/>
  <c r="G2965" i="91" s="1"/>
  <c r="F2964" i="91"/>
  <c r="G2964" i="91" s="1"/>
  <c r="E2963" i="91"/>
  <c r="F2963" i="91" s="1"/>
  <c r="G2963" i="91" s="1"/>
  <c r="E2962" i="91"/>
  <c r="F2962" i="91" s="1"/>
  <c r="G2962" i="91" s="1"/>
  <c r="F2961" i="91"/>
  <c r="G2961" i="91" s="1"/>
  <c r="F2959" i="91"/>
  <c r="G2959" i="91" s="1"/>
  <c r="E2958" i="91"/>
  <c r="E2956" i="91" s="1"/>
  <c r="F2956" i="91" s="1"/>
  <c r="G2956" i="91" s="1"/>
  <c r="F2957" i="91"/>
  <c r="G2957" i="91" s="1"/>
  <c r="F2955" i="91"/>
  <c r="G2955" i="91" s="1"/>
  <c r="E2954" i="91"/>
  <c r="F2954" i="91" s="1"/>
  <c r="G2954" i="91" s="1"/>
  <c r="E2953" i="91"/>
  <c r="F2953" i="91" s="1"/>
  <c r="G2953" i="91" s="1"/>
  <c r="E2952" i="91"/>
  <c r="F2952" i="91" s="1"/>
  <c r="G2952" i="91" s="1"/>
  <c r="E2951" i="91"/>
  <c r="F2951" i="91" s="1"/>
  <c r="G2951" i="91" s="1"/>
  <c r="E2950" i="91"/>
  <c r="F2950" i="91" s="1"/>
  <c r="G2950" i="91" s="1"/>
  <c r="F2948" i="91"/>
  <c r="G2948" i="91" s="1"/>
  <c r="E2947" i="91"/>
  <c r="F2947" i="91" s="1"/>
  <c r="G2947" i="91" s="1"/>
  <c r="E2946" i="91"/>
  <c r="F2946" i="91" s="1"/>
  <c r="G2946" i="91" s="1"/>
  <c r="F2945" i="91"/>
  <c r="G2945" i="91" s="1"/>
  <c r="E2944" i="91"/>
  <c r="F2944" i="91" s="1"/>
  <c r="G2944" i="91" s="1"/>
  <c r="F2943" i="91"/>
  <c r="G2943" i="91" s="1"/>
  <c r="F2942" i="91"/>
  <c r="G2942" i="91" s="1"/>
  <c r="F2941" i="91"/>
  <c r="G2941" i="91" s="1"/>
  <c r="E2939" i="91"/>
  <c r="F2938" i="91"/>
  <c r="G2938" i="91" s="1"/>
  <c r="F2937" i="91"/>
  <c r="G2937" i="91" s="1"/>
  <c r="F2936" i="91"/>
  <c r="G2936" i="91" s="1"/>
  <c r="F2935" i="91"/>
  <c r="G2935" i="91" s="1"/>
  <c r="F2934" i="91"/>
  <c r="G2934" i="91" s="1"/>
  <c r="F2933" i="91"/>
  <c r="G2933" i="91" s="1"/>
  <c r="F2932" i="91"/>
  <c r="G2932" i="91" s="1"/>
  <c r="E2930" i="91"/>
  <c r="F2930" i="91" s="1"/>
  <c r="G2930" i="91" s="1"/>
  <c r="F2928" i="91"/>
  <c r="G2928" i="91" s="1"/>
  <c r="E2927" i="91"/>
  <c r="F2927" i="91" s="1"/>
  <c r="G2927" i="91" s="1"/>
  <c r="F2926" i="91"/>
  <c r="G2926" i="91" s="1"/>
  <c r="E2925" i="91"/>
  <c r="F2925" i="91" s="1"/>
  <c r="G2925" i="91" s="1"/>
  <c r="F2923" i="91"/>
  <c r="G2923" i="91" s="1"/>
  <c r="E2922" i="91"/>
  <c r="E2921" i="91" s="1"/>
  <c r="F2921" i="91" s="1"/>
  <c r="G2921" i="91" s="1"/>
  <c r="F2920" i="91"/>
  <c r="G2920" i="91" s="1"/>
  <c r="F2919" i="91"/>
  <c r="G2919" i="91" s="1"/>
  <c r="F2918" i="91"/>
  <c r="G2918" i="91" s="1"/>
  <c r="E2917" i="91"/>
  <c r="F2917" i="91" s="1"/>
  <c r="G2917" i="91" s="1"/>
  <c r="F2916" i="91"/>
  <c r="G2916" i="91" s="1"/>
  <c r="E2915" i="91"/>
  <c r="F2915" i="91" s="1"/>
  <c r="G2915" i="91" s="1"/>
  <c r="F2914" i="91"/>
  <c r="G2914" i="91" s="1"/>
  <c r="F2913" i="91"/>
  <c r="G2913" i="91" s="1"/>
  <c r="F2912" i="91"/>
  <c r="G2912" i="91" s="1"/>
  <c r="E2911" i="91"/>
  <c r="F2911" i="91" s="1"/>
  <c r="G2911" i="91" s="1"/>
  <c r="F2910" i="91"/>
  <c r="G2910" i="91" s="1"/>
  <c r="E2909" i="91"/>
  <c r="E2907" i="91" s="1"/>
  <c r="F2907" i="91" s="1"/>
  <c r="G2907" i="91" s="1"/>
  <c r="F2908" i="91"/>
  <c r="G2908" i="91" s="1"/>
  <c r="F2906" i="91"/>
  <c r="G2906" i="91" s="1"/>
  <c r="F2905" i="91"/>
  <c r="G2905" i="91" s="1"/>
  <c r="F2904" i="91"/>
  <c r="G2904" i="91" s="1"/>
  <c r="E2902" i="91"/>
  <c r="F2902" i="91" s="1"/>
  <c r="G2902" i="91" s="1"/>
  <c r="F2901" i="91"/>
  <c r="G2901" i="91" s="1"/>
  <c r="F2900" i="91"/>
  <c r="G2900" i="91" s="1"/>
  <c r="F2899" i="91"/>
  <c r="G2899" i="91" s="1"/>
  <c r="E2897" i="91"/>
  <c r="F2897" i="91" s="1"/>
  <c r="G2897" i="91" s="1"/>
  <c r="F2895" i="91"/>
  <c r="G2895" i="91" s="1"/>
  <c r="F2894" i="91"/>
  <c r="G2894" i="91" s="1"/>
  <c r="F2893" i="91"/>
  <c r="G2893" i="91" s="1"/>
  <c r="E2892" i="91"/>
  <c r="E2890" i="91"/>
  <c r="F2890" i="91" s="1"/>
  <c r="G2890" i="91" s="1"/>
  <c r="F2888" i="91"/>
  <c r="G2888" i="91" s="1"/>
  <c r="E2887" i="91"/>
  <c r="F2887" i="91" s="1"/>
  <c r="G2887" i="91" s="1"/>
  <c r="F2886" i="91"/>
  <c r="G2886" i="91" s="1"/>
  <c r="E2885" i="91"/>
  <c r="F2885" i="91" s="1"/>
  <c r="G2885" i="91" s="1"/>
  <c r="E2884" i="91"/>
  <c r="F2884" i="91" s="1"/>
  <c r="G2884" i="91" s="1"/>
  <c r="F2882" i="91"/>
  <c r="G2882" i="91" s="1"/>
  <c r="F2881" i="91"/>
  <c r="G2881" i="91" s="1"/>
  <c r="E2880" i="91"/>
  <c r="F2880" i="91" s="1"/>
  <c r="G2880" i="91" s="1"/>
  <c r="F2879" i="91"/>
  <c r="G2879" i="91" s="1"/>
  <c r="F2878" i="91"/>
  <c r="G2878" i="91" s="1"/>
  <c r="F2877" i="91"/>
  <c r="G2877" i="91" s="1"/>
  <c r="F2876" i="91"/>
  <c r="G2876" i="91" s="1"/>
  <c r="F2875" i="91"/>
  <c r="G2875" i="91" s="1"/>
  <c r="F2874" i="91"/>
  <c r="G2874" i="91" s="1"/>
  <c r="E2873" i="91"/>
  <c r="F2873" i="91" s="1"/>
  <c r="G2873" i="91" s="1"/>
  <c r="E2872" i="91"/>
  <c r="F2871" i="91"/>
  <c r="G2871" i="91" s="1"/>
  <c r="F2870" i="91"/>
  <c r="G2870" i="91" s="1"/>
  <c r="F2868" i="91"/>
  <c r="G2868" i="91" s="1"/>
  <c r="F2867" i="91"/>
  <c r="G2867" i="91" s="1"/>
  <c r="F2866" i="91"/>
  <c r="G2866" i="91" s="1"/>
  <c r="E2865" i="91"/>
  <c r="F2865" i="91" s="1"/>
  <c r="G2865" i="91" s="1"/>
  <c r="F2864" i="91"/>
  <c r="G2864" i="91" s="1"/>
  <c r="F2863" i="91"/>
  <c r="G2863" i="91" s="1"/>
  <c r="E2862" i="91"/>
  <c r="F2862" i="91" s="1"/>
  <c r="G2862" i="91" s="1"/>
  <c r="F2860" i="91"/>
  <c r="G2860" i="91" s="1"/>
  <c r="F2859" i="91"/>
  <c r="G2859" i="91" s="1"/>
  <c r="F2858" i="91"/>
  <c r="G2858" i="91" s="1"/>
  <c r="E2856" i="91"/>
  <c r="E2855" i="91" s="1"/>
  <c r="F2855" i="91" s="1"/>
  <c r="G2855" i="91" s="1"/>
  <c r="F2854" i="91"/>
  <c r="G2854" i="91" s="1"/>
  <c r="E2853" i="91"/>
  <c r="F2853" i="91" s="1"/>
  <c r="G2853" i="91" s="1"/>
  <c r="F2852" i="91"/>
  <c r="G2852" i="91" s="1"/>
  <c r="E2851" i="91"/>
  <c r="E2850" i="91"/>
  <c r="F2850" i="91" s="1"/>
  <c r="G2850" i="91" s="1"/>
  <c r="F2848" i="91"/>
  <c r="G2848" i="91" s="1"/>
  <c r="F2847" i="91"/>
  <c r="G2847" i="91" s="1"/>
  <c r="E2846" i="91"/>
  <c r="F2846" i="91" s="1"/>
  <c r="G2846" i="91" s="1"/>
  <c r="F2845" i="91"/>
  <c r="G2845" i="91" s="1"/>
  <c r="E2844" i="91"/>
  <c r="F2843" i="91"/>
  <c r="G2843" i="91" s="1"/>
  <c r="F2842" i="91"/>
  <c r="G2842" i="91" s="1"/>
  <c r="E2840" i="91"/>
  <c r="F2840" i="91" s="1"/>
  <c r="G2840" i="91" s="1"/>
  <c r="E2839" i="91"/>
  <c r="F2838" i="91"/>
  <c r="G2838" i="91" s="1"/>
  <c r="F2836" i="91"/>
  <c r="G2836" i="91" s="1"/>
  <c r="E2835" i="91"/>
  <c r="F2835" i="91" s="1"/>
  <c r="G2835" i="91" s="1"/>
  <c r="E2834" i="91"/>
  <c r="F2834" i="91" s="1"/>
  <c r="G2834" i="91" s="1"/>
  <c r="E2832" i="91"/>
  <c r="F2832" i="91" s="1"/>
  <c r="G2832" i="91" s="1"/>
  <c r="E2831" i="91"/>
  <c r="F2831" i="91" s="1"/>
  <c r="G2831" i="91" s="1"/>
  <c r="E2830" i="91"/>
  <c r="F2830" i="91" s="1"/>
  <c r="G2830" i="91" s="1"/>
  <c r="F2828" i="91"/>
  <c r="G2828" i="91" s="1"/>
  <c r="F2827" i="91"/>
  <c r="G2827" i="91" s="1"/>
  <c r="E2826" i="91"/>
  <c r="F2826" i="91" s="1"/>
  <c r="G2826" i="91" s="1"/>
  <c r="F2824" i="91"/>
  <c r="G2824" i="91" s="1"/>
  <c r="F2823" i="91"/>
  <c r="G2823" i="91" s="1"/>
  <c r="E2822" i="91"/>
  <c r="F2822" i="91" s="1"/>
  <c r="G2822" i="91" s="1"/>
  <c r="E2821" i="91"/>
  <c r="F2819" i="91"/>
  <c r="G2819" i="91" s="1"/>
  <c r="F2818" i="91"/>
  <c r="G2818" i="91" s="1"/>
  <c r="F2808" i="91"/>
  <c r="G2808" i="91" s="1"/>
  <c r="E2807" i="91"/>
  <c r="F2807" i="91" s="1"/>
  <c r="G2807" i="91" s="1"/>
  <c r="F2806" i="91"/>
  <c r="G2806" i="91" s="1"/>
  <c r="E2805" i="91"/>
  <c r="F2805" i="91" s="1"/>
  <c r="G2805" i="91" s="1"/>
  <c r="F2804" i="91"/>
  <c r="G2804" i="91" s="1"/>
  <c r="F2803" i="91"/>
  <c r="G2803" i="91" s="1"/>
  <c r="F2802" i="91"/>
  <c r="G2802" i="91" s="1"/>
  <c r="F2800" i="91"/>
  <c r="G2800" i="91" s="1"/>
  <c r="F2799" i="91"/>
  <c r="G2799" i="91" s="1"/>
  <c r="E2798" i="91"/>
  <c r="F2798" i="91" s="1"/>
  <c r="G2798" i="91" s="1"/>
  <c r="F2797" i="91"/>
  <c r="G2797" i="91" s="1"/>
  <c r="E2796" i="91"/>
  <c r="F2796" i="91" s="1"/>
  <c r="G2796" i="91" s="1"/>
  <c r="F2795" i="91"/>
  <c r="G2795" i="91" s="1"/>
  <c r="E2794" i="91"/>
  <c r="F2793" i="91"/>
  <c r="G2793" i="91" s="1"/>
  <c r="E2792" i="91"/>
  <c r="F2792" i="91" s="1"/>
  <c r="G2792" i="91" s="1"/>
  <c r="F2791" i="91"/>
  <c r="G2791" i="91" s="1"/>
  <c r="F2790" i="91"/>
  <c r="G2790" i="91" s="1"/>
  <c r="F2789" i="91"/>
  <c r="G2789" i="91" s="1"/>
  <c r="E2788" i="91"/>
  <c r="F2788" i="91" s="1"/>
  <c r="G2788" i="91" s="1"/>
  <c r="F2787" i="91"/>
  <c r="G2787" i="91" s="1"/>
  <c r="F2786" i="91"/>
  <c r="G2786" i="91" s="1"/>
  <c r="F2783" i="91"/>
  <c r="G2783" i="91" s="1"/>
  <c r="F2782" i="91"/>
  <c r="G2782" i="91" s="1"/>
  <c r="F2781" i="91"/>
  <c r="G2781" i="91" s="1"/>
  <c r="E2780" i="91"/>
  <c r="F2779" i="91"/>
  <c r="G2779" i="91" s="1"/>
  <c r="E2778" i="91"/>
  <c r="F2778" i="91" s="1"/>
  <c r="G2778" i="91" s="1"/>
  <c r="F2777" i="91"/>
  <c r="G2777" i="91" s="1"/>
  <c r="F2776" i="91"/>
  <c r="G2776" i="91" s="1"/>
  <c r="F2775" i="91"/>
  <c r="G2775" i="91" s="1"/>
  <c r="E2774" i="91"/>
  <c r="F2774" i="91" s="1"/>
  <c r="G2774" i="91" s="1"/>
  <c r="F2773" i="91"/>
  <c r="G2773" i="91" s="1"/>
  <c r="F2772" i="91"/>
  <c r="G2772" i="91" s="1"/>
  <c r="E2771" i="91"/>
  <c r="F2771" i="91" s="1"/>
  <c r="G2771" i="91" s="1"/>
  <c r="F2770" i="91"/>
  <c r="G2770" i="91" s="1"/>
  <c r="F2769" i="91"/>
  <c r="G2769" i="91" s="1"/>
  <c r="E2768" i="91"/>
  <c r="F2768" i="91" s="1"/>
  <c r="G2768" i="91" s="1"/>
  <c r="F2767" i="91"/>
  <c r="G2767" i="91" s="1"/>
  <c r="F2766" i="91"/>
  <c r="G2766" i="91" s="1"/>
  <c r="F2765" i="91"/>
  <c r="G2765" i="91" s="1"/>
  <c r="F2764" i="91"/>
  <c r="G2764" i="91" s="1"/>
  <c r="F2763" i="91"/>
  <c r="G2763" i="91" s="1"/>
  <c r="E2762" i="91"/>
  <c r="F2762" i="91" s="1"/>
  <c r="G2762" i="91" s="1"/>
  <c r="F2761" i="91"/>
  <c r="G2761" i="91" s="1"/>
  <c r="F2760" i="91"/>
  <c r="G2760" i="91" s="1"/>
  <c r="F2759" i="91"/>
  <c r="G2759" i="91" s="1"/>
  <c r="F2758" i="91"/>
  <c r="G2758" i="91" s="1"/>
  <c r="E2757" i="91"/>
  <c r="F2757" i="91" s="1"/>
  <c r="G2757" i="91" s="1"/>
  <c r="F2756" i="91"/>
  <c r="G2756" i="91" s="1"/>
  <c r="E2755" i="91"/>
  <c r="F2755" i="91" s="1"/>
  <c r="G2755" i="91" s="1"/>
  <c r="F2754" i="91"/>
  <c r="G2754" i="91" s="1"/>
  <c r="F2753" i="91"/>
  <c r="G2753" i="91" s="1"/>
  <c r="F2750" i="91"/>
  <c r="G2750" i="91" s="1"/>
  <c r="F2749" i="91"/>
  <c r="G2749" i="91" s="1"/>
  <c r="F2748" i="91"/>
  <c r="G2748" i="91" s="1"/>
  <c r="E2747" i="91"/>
  <c r="F2746" i="91"/>
  <c r="G2746" i="91" s="1"/>
  <c r="E2745" i="91"/>
  <c r="F2745" i="91" s="1"/>
  <c r="G2745" i="91" s="1"/>
  <c r="F2744" i="91"/>
  <c r="G2744" i="91" s="1"/>
  <c r="F2743" i="91"/>
  <c r="G2743" i="91" s="1"/>
  <c r="F2742" i="91"/>
  <c r="G2742" i="91" s="1"/>
  <c r="E2741" i="91"/>
  <c r="F2741" i="91" s="1"/>
  <c r="G2741" i="91" s="1"/>
  <c r="F2740" i="91"/>
  <c r="G2740" i="91" s="1"/>
  <c r="E2739" i="91"/>
  <c r="F2739" i="91" s="1"/>
  <c r="G2739" i="91" s="1"/>
  <c r="F2738" i="91"/>
  <c r="G2738" i="91" s="1"/>
  <c r="F2737" i="91"/>
  <c r="G2737" i="91" s="1"/>
  <c r="F2734" i="91"/>
  <c r="G2734" i="91" s="1"/>
  <c r="F2733" i="91"/>
  <c r="G2733" i="91" s="1"/>
  <c r="F2732" i="91"/>
  <c r="G2732" i="91" s="1"/>
  <c r="E2731" i="91"/>
  <c r="F2731" i="91" s="1"/>
  <c r="G2731" i="91" s="1"/>
  <c r="F2730" i="91"/>
  <c r="G2730" i="91" s="1"/>
  <c r="E2729" i="91"/>
  <c r="F2729" i="91" s="1"/>
  <c r="G2729" i="91" s="1"/>
  <c r="F2728" i="91"/>
  <c r="G2728" i="91" s="1"/>
  <c r="F2727" i="91"/>
  <c r="G2727" i="91" s="1"/>
  <c r="F2726" i="91"/>
  <c r="G2726" i="91" s="1"/>
  <c r="E2725" i="91"/>
  <c r="F2725" i="91" s="1"/>
  <c r="G2725" i="91" s="1"/>
  <c r="F2724" i="91"/>
  <c r="G2724" i="91" s="1"/>
  <c r="F2723" i="91"/>
  <c r="G2723" i="91" s="1"/>
  <c r="E2722" i="91"/>
  <c r="C1183" i="3" s="1"/>
  <c r="D1183" i="3" s="1"/>
  <c r="E1183" i="3" s="1"/>
  <c r="F2721" i="91"/>
  <c r="G2721" i="91" s="1"/>
  <c r="F2720" i="91"/>
  <c r="G2720" i="91" s="1"/>
  <c r="F2719" i="91"/>
  <c r="G2719" i="91" s="1"/>
  <c r="F2716" i="91"/>
  <c r="G2716" i="91" s="1"/>
  <c r="F2715" i="91"/>
  <c r="G2715" i="91" s="1"/>
  <c r="E2714" i="91"/>
  <c r="F2714" i="91" s="1"/>
  <c r="G2714" i="91" s="1"/>
  <c r="F2713" i="91"/>
  <c r="G2713" i="91" s="1"/>
  <c r="F2712" i="91"/>
  <c r="G2712" i="91" s="1"/>
  <c r="E2711" i="91"/>
  <c r="F2710" i="91"/>
  <c r="G2710" i="91" s="1"/>
  <c r="F2709" i="91"/>
  <c r="G2709" i="91" s="1"/>
  <c r="F2707" i="91"/>
  <c r="G2707" i="91" s="1"/>
  <c r="E2706" i="91"/>
  <c r="F2706" i="91" s="1"/>
  <c r="G2706" i="91" s="1"/>
  <c r="F2705" i="91"/>
  <c r="G2705" i="91" s="1"/>
  <c r="E2704" i="91"/>
  <c r="F2703" i="91"/>
  <c r="G2703" i="91" s="1"/>
  <c r="F2702" i="91"/>
  <c r="G2702" i="91" s="1"/>
  <c r="E2701" i="91"/>
  <c r="F2701" i="91" s="1"/>
  <c r="G2701" i="91" s="1"/>
  <c r="F2700" i="91"/>
  <c r="G2700" i="91" s="1"/>
  <c r="F2699" i="91"/>
  <c r="G2699" i="91" s="1"/>
  <c r="E2698" i="91"/>
  <c r="F2698" i="91" s="1"/>
  <c r="G2698" i="91" s="1"/>
  <c r="F2697" i="91"/>
  <c r="G2697" i="91" s="1"/>
  <c r="E2696" i="91"/>
  <c r="F2696" i="91" s="1"/>
  <c r="G2696" i="91" s="1"/>
  <c r="F2695" i="91"/>
  <c r="G2695" i="91" s="1"/>
  <c r="F2694" i="91"/>
  <c r="G2694" i="91" s="1"/>
  <c r="F2693" i="91"/>
  <c r="G2693" i="91" s="1"/>
  <c r="F2692" i="91"/>
  <c r="G2692" i="91" s="1"/>
  <c r="E2691" i="91"/>
  <c r="F2691" i="91" s="1"/>
  <c r="G2691" i="91" s="1"/>
  <c r="F2690" i="91"/>
  <c r="G2690" i="91" s="1"/>
  <c r="F2689" i="91"/>
  <c r="G2689" i="91" s="1"/>
  <c r="F2688" i="91"/>
  <c r="G2688" i="91" s="1"/>
  <c r="E2687" i="91"/>
  <c r="F2687" i="91" s="1"/>
  <c r="G2687" i="91" s="1"/>
  <c r="F2686" i="91"/>
  <c r="G2686" i="91" s="1"/>
  <c r="F2685" i="91"/>
  <c r="G2685" i="91" s="1"/>
  <c r="F2684" i="91"/>
  <c r="G2684" i="91" s="1"/>
  <c r="F2681" i="91"/>
  <c r="G2681" i="91" s="1"/>
  <c r="E2680" i="91"/>
  <c r="F2680" i="91" s="1"/>
  <c r="G2680" i="91" s="1"/>
  <c r="F2679" i="91"/>
  <c r="G2679" i="91" s="1"/>
  <c r="F2678" i="91"/>
  <c r="G2678" i="91" s="1"/>
  <c r="F2676" i="91"/>
  <c r="G2676" i="91" s="1"/>
  <c r="F2675" i="91"/>
  <c r="G2675" i="91" s="1"/>
  <c r="E2674" i="91"/>
  <c r="F2674" i="91" s="1"/>
  <c r="G2674" i="91" s="1"/>
  <c r="F2673" i="91"/>
  <c r="G2673" i="91" s="1"/>
  <c r="E2672" i="91"/>
  <c r="F2672" i="91" s="1"/>
  <c r="G2672" i="91" s="1"/>
  <c r="F2671" i="91"/>
  <c r="G2671" i="91" s="1"/>
  <c r="E2670" i="91"/>
  <c r="F2670" i="91" s="1"/>
  <c r="G2670" i="91" s="1"/>
  <c r="F2669" i="91"/>
  <c r="G2669" i="91" s="1"/>
  <c r="E2668" i="91"/>
  <c r="F2668" i="91" s="1"/>
  <c r="G2668" i="91" s="1"/>
  <c r="F2667" i="91"/>
  <c r="G2667" i="91" s="1"/>
  <c r="F2666" i="91"/>
  <c r="G2666" i="91" s="1"/>
  <c r="F2665" i="91"/>
  <c r="G2665" i="91" s="1"/>
  <c r="F2664" i="91"/>
  <c r="G2664" i="91" s="1"/>
  <c r="E2663" i="91"/>
  <c r="F2663" i="91" s="1"/>
  <c r="G2663" i="91" s="1"/>
  <c r="F2662" i="91"/>
  <c r="G2662" i="91" s="1"/>
  <c r="E2661" i="91"/>
  <c r="F2661" i="91" s="1"/>
  <c r="G2661" i="91" s="1"/>
  <c r="F2660" i="91"/>
  <c r="G2660" i="91" s="1"/>
  <c r="F2659" i="91"/>
  <c r="G2659" i="91" s="1"/>
  <c r="E2658" i="91"/>
  <c r="F2657" i="91"/>
  <c r="G2657" i="91" s="1"/>
  <c r="F2656" i="91"/>
  <c r="G2656" i="91" s="1"/>
  <c r="F2655" i="91"/>
  <c r="G2655" i="91" s="1"/>
  <c r="F2654" i="91"/>
  <c r="G2654" i="91" s="1"/>
  <c r="F2653" i="91"/>
  <c r="G2653" i="91" s="1"/>
  <c r="F2650" i="91"/>
  <c r="G2650" i="91" s="1"/>
  <c r="E2649" i="91"/>
  <c r="F2649" i="91" s="1"/>
  <c r="G2649" i="91" s="1"/>
  <c r="F2648" i="91"/>
  <c r="G2648" i="91" s="1"/>
  <c r="F2647" i="91"/>
  <c r="G2647" i="91" s="1"/>
  <c r="E2646" i="91"/>
  <c r="F2646" i="91" s="1"/>
  <c r="G2646" i="91" s="1"/>
  <c r="F2645" i="91"/>
  <c r="G2645" i="91" s="1"/>
  <c r="E2644" i="91"/>
  <c r="F2644" i="91" s="1"/>
  <c r="G2644" i="91" s="1"/>
  <c r="F2643" i="91"/>
  <c r="G2643" i="91" s="1"/>
  <c r="F2642" i="91"/>
  <c r="G2642" i="91" s="1"/>
  <c r="F2641" i="91"/>
  <c r="G2641" i="91" s="1"/>
  <c r="E2640" i="91"/>
  <c r="F2640" i="91" s="1"/>
  <c r="G2640" i="91" s="1"/>
  <c r="F2639" i="91"/>
  <c r="G2639" i="91" s="1"/>
  <c r="F2638" i="91"/>
  <c r="G2638" i="91" s="1"/>
  <c r="F2637" i="91"/>
  <c r="G2637" i="91" s="1"/>
  <c r="F2636" i="91"/>
  <c r="G2636" i="91" s="1"/>
  <c r="F2633" i="91"/>
  <c r="G2633" i="91" s="1"/>
  <c r="E2632" i="91"/>
  <c r="F2631" i="91"/>
  <c r="G2631" i="91" s="1"/>
  <c r="E2630" i="91"/>
  <c r="F2630" i="91" s="1"/>
  <c r="G2630" i="91" s="1"/>
  <c r="F2629" i="91"/>
  <c r="G2629" i="91" s="1"/>
  <c r="F2628" i="91"/>
  <c r="G2628" i="91" s="1"/>
  <c r="F2626" i="91"/>
  <c r="G2626" i="91" s="1"/>
  <c r="F2625" i="91"/>
  <c r="G2625" i="91" s="1"/>
  <c r="E2624" i="91"/>
  <c r="F2624" i="91" s="1"/>
  <c r="G2624" i="91" s="1"/>
  <c r="F2623" i="91"/>
  <c r="G2623" i="91" s="1"/>
  <c r="E2622" i="91"/>
  <c r="F2622" i="91" s="1"/>
  <c r="G2622" i="91" s="1"/>
  <c r="F2621" i="91"/>
  <c r="G2621" i="91" s="1"/>
  <c r="E2620" i="91"/>
  <c r="F2620" i="91" s="1"/>
  <c r="G2620" i="91" s="1"/>
  <c r="F2619" i="91"/>
  <c r="G2619" i="91" s="1"/>
  <c r="E2618" i="91"/>
  <c r="F2618" i="91" s="1"/>
  <c r="G2618" i="91" s="1"/>
  <c r="F2617" i="91"/>
  <c r="G2617" i="91" s="1"/>
  <c r="E2616" i="91"/>
  <c r="F2616" i="91" s="1"/>
  <c r="G2616" i="91" s="1"/>
  <c r="F2615" i="91"/>
  <c r="G2615" i="91" s="1"/>
  <c r="F2614" i="91"/>
  <c r="G2614" i="91" s="1"/>
  <c r="F2613" i="91"/>
  <c r="G2613" i="91" s="1"/>
  <c r="E2612" i="91"/>
  <c r="F2612" i="91" s="1"/>
  <c r="G2612" i="91" s="1"/>
  <c r="F2611" i="91"/>
  <c r="G2611" i="91" s="1"/>
  <c r="E2610" i="91"/>
  <c r="F2609" i="91"/>
  <c r="G2609" i="91" s="1"/>
  <c r="F2608" i="91"/>
  <c r="G2608" i="91" s="1"/>
  <c r="F2607" i="91"/>
  <c r="G2607" i="91" s="1"/>
  <c r="F2604" i="91"/>
  <c r="G2604" i="91" s="1"/>
  <c r="F2603" i="91"/>
  <c r="G2603" i="91" s="1"/>
  <c r="E2602" i="91"/>
  <c r="F2602" i="91" s="1"/>
  <c r="G2602" i="91" s="1"/>
  <c r="F2601" i="91"/>
  <c r="G2601" i="91" s="1"/>
  <c r="F2600" i="91"/>
  <c r="G2600" i="91" s="1"/>
  <c r="F2598" i="91"/>
  <c r="G2598" i="91" s="1"/>
  <c r="F2597" i="91"/>
  <c r="G2597" i="91" s="1"/>
  <c r="E2596" i="91"/>
  <c r="F2596" i="91" s="1"/>
  <c r="G2596" i="91" s="1"/>
  <c r="F2595" i="91"/>
  <c r="G2595" i="91" s="1"/>
  <c r="F2594" i="91"/>
  <c r="G2594" i="91" s="1"/>
  <c r="F2593" i="91"/>
  <c r="G2593" i="91" s="1"/>
  <c r="E2592" i="91"/>
  <c r="F2592" i="91" s="1"/>
  <c r="G2592" i="91" s="1"/>
  <c r="F2591" i="91"/>
  <c r="G2591" i="91" s="1"/>
  <c r="F2590" i="91"/>
  <c r="G2590" i="91" s="1"/>
  <c r="E2589" i="91"/>
  <c r="F2589" i="91" s="1"/>
  <c r="G2589" i="91" s="1"/>
  <c r="F2588" i="91"/>
  <c r="G2588" i="91" s="1"/>
  <c r="E2587" i="91"/>
  <c r="F2587" i="91" s="1"/>
  <c r="G2587" i="91" s="1"/>
  <c r="F2586" i="91"/>
  <c r="G2586" i="91" s="1"/>
  <c r="F2585" i="91"/>
  <c r="G2585" i="91" s="1"/>
  <c r="E2584" i="91"/>
  <c r="F2584" i="91" s="1"/>
  <c r="G2584" i="91" s="1"/>
  <c r="F2583" i="91"/>
  <c r="G2583" i="91" s="1"/>
  <c r="F2582" i="91"/>
  <c r="G2582" i="91" s="1"/>
  <c r="F2581" i="91"/>
  <c r="G2581" i="91" s="1"/>
  <c r="F2580" i="91"/>
  <c r="G2580" i="91" s="1"/>
  <c r="E2579" i="91"/>
  <c r="F2579" i="91" s="1"/>
  <c r="G2579" i="91" s="1"/>
  <c r="F2578" i="91"/>
  <c r="G2578" i="91" s="1"/>
  <c r="E2577" i="91"/>
  <c r="F2577" i="91" s="1"/>
  <c r="G2577" i="91" s="1"/>
  <c r="F2576" i="91"/>
  <c r="G2576" i="91" s="1"/>
  <c r="F2575" i="91"/>
  <c r="G2575" i="91" s="1"/>
  <c r="E2574" i="91"/>
  <c r="C1114" i="3" s="1"/>
  <c r="F2573" i="91"/>
  <c r="G2573" i="91" s="1"/>
  <c r="F2572" i="91"/>
  <c r="G2572" i="91" s="1"/>
  <c r="F2571" i="91"/>
  <c r="G2571" i="91" s="1"/>
  <c r="F2568" i="91"/>
  <c r="G2568" i="91" s="1"/>
  <c r="E2567" i="91"/>
  <c r="F2567" i="91" s="1"/>
  <c r="G2567" i="91" s="1"/>
  <c r="F2566" i="91"/>
  <c r="G2566" i="91" s="1"/>
  <c r="F2565" i="91"/>
  <c r="G2565" i="91" s="1"/>
  <c r="F2564" i="91"/>
  <c r="G2564" i="91" s="1"/>
  <c r="E2563" i="91"/>
  <c r="F2563" i="91" s="1"/>
  <c r="G2563" i="91" s="1"/>
  <c r="F2562" i="91"/>
  <c r="G2562" i="91" s="1"/>
  <c r="E2561" i="91"/>
  <c r="F2561" i="91" s="1"/>
  <c r="G2561" i="91" s="1"/>
  <c r="F2560" i="91"/>
  <c r="G2560" i="91" s="1"/>
  <c r="F2559" i="91"/>
  <c r="G2559" i="91" s="1"/>
  <c r="F2558" i="91"/>
  <c r="G2558" i="91" s="1"/>
  <c r="F2555" i="91"/>
  <c r="G2555" i="91" s="1"/>
  <c r="E2554" i="91"/>
  <c r="F2554" i="91" s="1"/>
  <c r="G2554" i="91" s="1"/>
  <c r="F2553" i="91"/>
  <c r="G2553" i="91" s="1"/>
  <c r="E2552" i="91"/>
  <c r="F2552" i="91" s="1"/>
  <c r="G2552" i="91" s="1"/>
  <c r="F2551" i="91"/>
  <c r="G2551" i="91" s="1"/>
  <c r="F2550" i="91"/>
  <c r="G2550" i="91" s="1"/>
  <c r="F2549" i="91"/>
  <c r="G2549" i="91" s="1"/>
  <c r="E2548" i="91"/>
  <c r="F2548" i="91" s="1"/>
  <c r="G2548" i="91" s="1"/>
  <c r="F2547" i="91"/>
  <c r="G2547" i="91" s="1"/>
  <c r="E2546" i="91"/>
  <c r="F2546" i="91" s="1"/>
  <c r="G2546" i="91" s="1"/>
  <c r="F2545" i="91"/>
  <c r="G2545" i="91" s="1"/>
  <c r="F2544" i="91"/>
  <c r="G2544" i="91" s="1"/>
  <c r="F2543" i="91"/>
  <c r="G2543" i="91" s="1"/>
  <c r="E2542" i="91"/>
  <c r="F2542" i="91" s="1"/>
  <c r="G2542" i="91" s="1"/>
  <c r="F2541" i="91"/>
  <c r="G2541" i="91" s="1"/>
  <c r="F2540" i="91"/>
  <c r="G2540" i="91" s="1"/>
  <c r="F2539" i="91"/>
  <c r="G2539" i="91" s="1"/>
  <c r="F2537" i="91"/>
  <c r="G2537" i="91" s="1"/>
  <c r="F2536" i="91"/>
  <c r="G2536" i="91" s="1"/>
  <c r="F2535" i="91"/>
  <c r="G2535" i="91" s="1"/>
  <c r="E2534" i="91"/>
  <c r="C1075" i="3" s="1"/>
  <c r="F2533" i="91"/>
  <c r="G2533" i="91" s="1"/>
  <c r="E2532" i="91"/>
  <c r="F2532" i="91" s="1"/>
  <c r="G2532" i="91" s="1"/>
  <c r="F2531" i="91"/>
  <c r="G2531" i="91" s="1"/>
  <c r="F2530" i="91"/>
  <c r="G2530" i="91" s="1"/>
  <c r="E2529" i="91"/>
  <c r="F2529" i="91" s="1"/>
  <c r="G2529" i="91" s="1"/>
  <c r="F2528" i="91"/>
  <c r="G2528" i="91" s="1"/>
  <c r="E2527" i="91"/>
  <c r="F2527" i="91" s="1"/>
  <c r="G2527" i="91" s="1"/>
  <c r="F2526" i="91"/>
  <c r="G2526" i="91" s="1"/>
  <c r="E2525" i="91"/>
  <c r="F2525" i="91" s="1"/>
  <c r="G2525" i="91" s="1"/>
  <c r="F2524" i="91"/>
  <c r="G2524" i="91" s="1"/>
  <c r="F2523" i="91"/>
  <c r="G2523" i="91" s="1"/>
  <c r="F2522" i="91"/>
  <c r="G2522" i="91" s="1"/>
  <c r="F2521" i="91"/>
  <c r="G2521" i="91" s="1"/>
  <c r="E2520" i="91"/>
  <c r="F2520" i="91" s="1"/>
  <c r="G2520" i="91" s="1"/>
  <c r="F2519" i="91"/>
  <c r="G2519" i="91" s="1"/>
  <c r="E2518" i="91"/>
  <c r="F2518" i="91" s="1"/>
  <c r="G2518" i="91" s="1"/>
  <c r="F2517" i="91"/>
  <c r="G2517" i="91" s="1"/>
  <c r="F2516" i="91"/>
  <c r="G2516" i="91" s="1"/>
  <c r="E2515" i="91"/>
  <c r="F2515" i="91" s="1"/>
  <c r="G2515" i="91" s="1"/>
  <c r="F2514" i="91"/>
  <c r="G2514" i="91" s="1"/>
  <c r="F2513" i="91"/>
  <c r="G2513" i="91" s="1"/>
  <c r="F2512" i="91"/>
  <c r="G2512" i="91" s="1"/>
  <c r="F2511" i="91"/>
  <c r="G2511" i="91" s="1"/>
  <c r="E2510" i="91"/>
  <c r="F2510" i="91" s="1"/>
  <c r="G2510" i="91" s="1"/>
  <c r="F2509" i="91"/>
  <c r="G2509" i="91" s="1"/>
  <c r="E2508" i="91"/>
  <c r="F2508" i="91" s="1"/>
  <c r="G2508" i="91" s="1"/>
  <c r="F2507" i="91"/>
  <c r="G2507" i="91" s="1"/>
  <c r="F2506" i="91"/>
  <c r="G2506" i="91" s="1"/>
  <c r="F2505" i="91"/>
  <c r="G2505" i="91" s="1"/>
  <c r="F2504" i="91"/>
  <c r="G2504" i="91" s="1"/>
  <c r="E2503" i="91"/>
  <c r="F2503" i="91" s="1"/>
  <c r="G2503" i="91" s="1"/>
  <c r="F2502" i="91"/>
  <c r="G2502" i="91" s="1"/>
  <c r="F2501" i="91"/>
  <c r="G2501" i="91" s="1"/>
  <c r="F2500" i="91"/>
  <c r="G2500" i="91" s="1"/>
  <c r="E2499" i="91"/>
  <c r="F2499" i="91" s="1"/>
  <c r="G2499" i="91" s="1"/>
  <c r="F2498" i="91"/>
  <c r="G2498" i="91" s="1"/>
  <c r="F2497" i="91"/>
  <c r="G2497" i="91" s="1"/>
  <c r="F2496" i="91"/>
  <c r="G2496" i="91" s="1"/>
  <c r="F2495" i="91"/>
  <c r="G2495" i="91" s="1"/>
  <c r="E2494" i="91"/>
  <c r="F2494" i="91" s="1"/>
  <c r="G2494" i="91" s="1"/>
  <c r="F2493" i="91"/>
  <c r="G2493" i="91" s="1"/>
  <c r="E2492" i="91"/>
  <c r="F2492" i="91" s="1"/>
  <c r="G2492" i="91" s="1"/>
  <c r="F2491" i="91"/>
  <c r="G2491" i="91" s="1"/>
  <c r="F2490" i="91"/>
  <c r="G2490" i="91" s="1"/>
  <c r="E2489" i="91"/>
  <c r="F2489" i="91" s="1"/>
  <c r="G2489" i="91" s="1"/>
  <c r="F2488" i="91"/>
  <c r="G2488" i="91" s="1"/>
  <c r="F2487" i="91"/>
  <c r="G2487" i="91" s="1"/>
  <c r="E2486" i="91"/>
  <c r="C1073" i="3" s="1"/>
  <c r="F2485" i="91"/>
  <c r="G2485" i="91" s="1"/>
  <c r="F2484" i="91"/>
  <c r="G2484" i="91" s="1"/>
  <c r="F2483" i="91"/>
  <c r="G2483" i="91" s="1"/>
  <c r="F2474" i="91"/>
  <c r="G2474" i="91" s="1"/>
  <c r="E2473" i="91"/>
  <c r="F2472" i="91"/>
  <c r="G2472" i="91" s="1"/>
  <c r="F2471" i="91"/>
  <c r="G2471" i="91" s="1"/>
  <c r="E2470" i="91"/>
  <c r="F2470" i="91" s="1"/>
  <c r="G2470" i="91" s="1"/>
  <c r="F2469" i="91"/>
  <c r="G2469" i="91" s="1"/>
  <c r="F2468" i="91"/>
  <c r="G2468" i="91" s="1"/>
  <c r="F2467" i="91"/>
  <c r="G2467" i="91" s="1"/>
  <c r="E2466" i="91"/>
  <c r="F2465" i="91"/>
  <c r="G2465" i="91" s="1"/>
  <c r="E2464" i="91"/>
  <c r="F2464" i="91" s="1"/>
  <c r="G2464" i="91" s="1"/>
  <c r="F2463" i="91"/>
  <c r="G2463" i="91" s="1"/>
  <c r="E2462" i="91"/>
  <c r="F2462" i="91" s="1"/>
  <c r="G2462" i="91" s="1"/>
  <c r="F2461" i="91"/>
  <c r="G2461" i="91" s="1"/>
  <c r="F2460" i="91"/>
  <c r="G2460" i="91" s="1"/>
  <c r="E2459" i="91"/>
  <c r="F2459" i="91" s="1"/>
  <c r="G2459" i="91" s="1"/>
  <c r="F2456" i="91"/>
  <c r="G2456" i="91" s="1"/>
  <c r="F2455" i="91"/>
  <c r="G2455" i="91" s="1"/>
  <c r="F2454" i="91"/>
  <c r="G2454" i="91" s="1"/>
  <c r="F2453" i="91"/>
  <c r="G2453" i="91" s="1"/>
  <c r="F2452" i="91"/>
  <c r="G2452" i="91" s="1"/>
  <c r="E2451" i="91"/>
  <c r="F2451" i="91" s="1"/>
  <c r="G2451" i="91" s="1"/>
  <c r="F2450" i="91"/>
  <c r="G2450" i="91" s="1"/>
  <c r="F2449" i="91"/>
  <c r="G2449" i="91" s="1"/>
  <c r="F2448" i="91"/>
  <c r="G2448" i="91" s="1"/>
  <c r="E2447" i="91"/>
  <c r="F2447" i="91" s="1"/>
  <c r="G2447" i="91" s="1"/>
  <c r="F2446" i="91"/>
  <c r="G2446" i="91" s="1"/>
  <c r="E2445" i="91"/>
  <c r="F2445" i="91" s="1"/>
  <c r="G2445" i="91" s="1"/>
  <c r="F2444" i="91"/>
  <c r="G2444" i="91" s="1"/>
  <c r="F2443" i="91"/>
  <c r="G2443" i="91" s="1"/>
  <c r="F2442" i="91"/>
  <c r="G2442" i="91" s="1"/>
  <c r="F2440" i="91"/>
  <c r="G2440" i="91" s="1"/>
  <c r="F2439" i="91"/>
  <c r="G2439" i="91" s="1"/>
  <c r="E2438" i="91"/>
  <c r="C1010" i="3" s="1"/>
  <c r="D1010" i="3" s="1"/>
  <c r="E1010" i="3" s="1"/>
  <c r="F2437" i="91"/>
  <c r="G2437" i="91" s="1"/>
  <c r="E2436" i="91"/>
  <c r="F2435" i="91"/>
  <c r="G2435" i="91" s="1"/>
  <c r="F2434" i="91"/>
  <c r="G2434" i="91" s="1"/>
  <c r="E2433" i="91"/>
  <c r="F2433" i="91" s="1"/>
  <c r="G2433" i="91" s="1"/>
  <c r="F2432" i="91"/>
  <c r="G2432" i="91" s="1"/>
  <c r="E2431" i="91"/>
  <c r="F2431" i="91" s="1"/>
  <c r="G2431" i="91" s="1"/>
  <c r="F2430" i="91"/>
  <c r="G2430" i="91" s="1"/>
  <c r="E2429" i="91"/>
  <c r="F2429" i="91" s="1"/>
  <c r="G2429" i="91" s="1"/>
  <c r="F2428" i="91"/>
  <c r="G2428" i="91" s="1"/>
  <c r="E2427" i="91"/>
  <c r="F2427" i="91" s="1"/>
  <c r="G2427" i="91" s="1"/>
  <c r="E2426" i="91"/>
  <c r="F2425" i="91"/>
  <c r="G2425" i="91" s="1"/>
  <c r="F2423" i="91"/>
  <c r="G2423" i="91" s="1"/>
  <c r="F2422" i="91"/>
  <c r="G2422" i="91" s="1"/>
  <c r="E2421" i="91"/>
  <c r="F2421" i="91" s="1"/>
  <c r="G2421" i="91" s="1"/>
  <c r="F2420" i="91"/>
  <c r="G2420" i="91" s="1"/>
  <c r="F2418" i="91"/>
  <c r="G2418" i="91" s="1"/>
  <c r="E2417" i="91"/>
  <c r="F2417" i="91" s="1"/>
  <c r="G2417" i="91" s="1"/>
  <c r="F2416" i="91"/>
  <c r="G2416" i="91" s="1"/>
  <c r="F2415" i="91"/>
  <c r="G2415" i="91" s="1"/>
  <c r="E2414" i="91"/>
  <c r="F2414" i="91" s="1"/>
  <c r="G2414" i="91" s="1"/>
  <c r="F2413" i="91"/>
  <c r="G2413" i="91" s="1"/>
  <c r="F2412" i="91"/>
  <c r="G2412" i="91" s="1"/>
  <c r="F2411" i="91"/>
  <c r="G2411" i="91" s="1"/>
  <c r="E2410" i="91"/>
  <c r="F2410" i="91" s="1"/>
  <c r="G2410" i="91" s="1"/>
  <c r="F2409" i="91"/>
  <c r="G2409" i="91" s="1"/>
  <c r="F2408" i="91"/>
  <c r="G2408" i="91" s="1"/>
  <c r="E2407" i="91"/>
  <c r="F2407" i="91" s="1"/>
  <c r="G2407" i="91" s="1"/>
  <c r="F2406" i="91"/>
  <c r="G2406" i="91" s="1"/>
  <c r="F2405" i="91"/>
  <c r="G2405" i="91" s="1"/>
  <c r="E2404" i="91"/>
  <c r="F2404" i="91" s="1"/>
  <c r="G2404" i="91" s="1"/>
  <c r="F2403" i="91"/>
  <c r="G2403" i="91" s="1"/>
  <c r="F2402" i="91"/>
  <c r="G2402" i="91" s="1"/>
  <c r="F2401" i="91"/>
  <c r="G2401" i="91" s="1"/>
  <c r="F2400" i="91"/>
  <c r="G2400" i="91" s="1"/>
  <c r="F2397" i="91"/>
  <c r="G2397" i="91" s="1"/>
  <c r="F2396" i="91"/>
  <c r="G2396" i="91" s="1"/>
  <c r="F2395" i="91"/>
  <c r="G2395" i="91" s="1"/>
  <c r="E2394" i="91"/>
  <c r="F2394" i="91" s="1"/>
  <c r="G2394" i="91" s="1"/>
  <c r="F2393" i="91"/>
  <c r="G2393" i="91" s="1"/>
  <c r="F2392" i="91"/>
  <c r="G2392" i="91" s="1"/>
  <c r="F2391" i="91"/>
  <c r="G2391" i="91" s="1"/>
  <c r="F2390" i="91"/>
  <c r="G2390" i="91" s="1"/>
  <c r="F2389" i="91"/>
  <c r="G2389" i="91" s="1"/>
  <c r="F2388" i="91"/>
  <c r="G2388" i="91" s="1"/>
  <c r="E2387" i="91"/>
  <c r="F2387" i="91" s="1"/>
  <c r="G2387" i="91" s="1"/>
  <c r="F2386" i="91"/>
  <c r="G2386" i="91" s="1"/>
  <c r="E2385" i="91"/>
  <c r="F2385" i="91" s="1"/>
  <c r="G2385" i="91" s="1"/>
  <c r="F2384" i="91"/>
  <c r="G2384" i="91" s="1"/>
  <c r="E2383" i="91"/>
  <c r="F2383" i="91" s="1"/>
  <c r="G2383" i="91" s="1"/>
  <c r="F2382" i="91"/>
  <c r="G2382" i="91" s="1"/>
  <c r="F2381" i="91"/>
  <c r="G2381" i="91" s="1"/>
  <c r="F2380" i="91"/>
  <c r="G2380" i="91" s="1"/>
  <c r="F2378" i="91"/>
  <c r="G2378" i="91" s="1"/>
  <c r="E2377" i="91"/>
  <c r="F2376" i="91"/>
  <c r="G2376" i="91" s="1"/>
  <c r="F2375" i="91"/>
  <c r="G2375" i="91" s="1"/>
  <c r="E2374" i="91"/>
  <c r="F2374" i="91" s="1"/>
  <c r="G2374" i="91" s="1"/>
  <c r="F2373" i="91"/>
  <c r="G2373" i="91" s="1"/>
  <c r="E2372" i="91"/>
  <c r="F2372" i="91" s="1"/>
  <c r="G2372" i="91" s="1"/>
  <c r="F2371" i="91"/>
  <c r="G2371" i="91" s="1"/>
  <c r="F2370" i="91"/>
  <c r="G2370" i="91" s="1"/>
  <c r="E2369" i="91"/>
  <c r="F2369" i="91" s="1"/>
  <c r="G2369" i="91" s="1"/>
  <c r="F2368" i="91"/>
  <c r="G2368" i="91" s="1"/>
  <c r="F2367" i="91"/>
  <c r="G2367" i="91" s="1"/>
  <c r="E2366" i="91"/>
  <c r="F2366" i="91" s="1"/>
  <c r="G2366" i="91" s="1"/>
  <c r="F2365" i="91"/>
  <c r="G2365" i="91" s="1"/>
  <c r="F2364" i="91"/>
  <c r="G2364" i="91" s="1"/>
  <c r="F2363" i="91"/>
  <c r="G2363" i="91" s="1"/>
  <c r="F2362" i="91"/>
  <c r="G2362" i="91" s="1"/>
  <c r="F2361" i="91"/>
  <c r="G2361" i="91" s="1"/>
  <c r="E2360" i="91"/>
  <c r="F2360" i="91" s="1"/>
  <c r="G2360" i="91" s="1"/>
  <c r="F2359" i="91"/>
  <c r="G2359" i="91" s="1"/>
  <c r="F2358" i="91"/>
  <c r="G2358" i="91" s="1"/>
  <c r="F2357" i="91"/>
  <c r="G2357" i="91" s="1"/>
  <c r="F2356" i="91"/>
  <c r="G2356" i="91" s="1"/>
  <c r="F2355" i="91"/>
  <c r="G2355" i="91" s="1"/>
  <c r="E2354" i="91"/>
  <c r="F2354" i="91" s="1"/>
  <c r="G2354" i="91" s="1"/>
  <c r="F2353" i="91"/>
  <c r="G2353" i="91" s="1"/>
  <c r="F2352" i="91"/>
  <c r="G2352" i="91" s="1"/>
  <c r="E2351" i="91"/>
  <c r="F2351" i="91" s="1"/>
  <c r="G2351" i="91" s="1"/>
  <c r="F2350" i="91"/>
  <c r="G2350" i="91" s="1"/>
  <c r="F2349" i="91"/>
  <c r="G2349" i="91" s="1"/>
  <c r="F2348" i="91"/>
  <c r="G2348" i="91" s="1"/>
  <c r="E2347" i="91"/>
  <c r="F2347" i="91" s="1"/>
  <c r="G2347" i="91" s="1"/>
  <c r="F2346" i="91"/>
  <c r="G2346" i="91" s="1"/>
  <c r="E2345" i="91"/>
  <c r="F2345" i="91" s="1"/>
  <c r="G2345" i="91" s="1"/>
  <c r="F2344" i="91"/>
  <c r="G2344" i="91" s="1"/>
  <c r="F2343" i="91"/>
  <c r="G2343" i="91" s="1"/>
  <c r="E2342" i="91"/>
  <c r="F2342" i="91" s="1"/>
  <c r="G2342" i="91" s="1"/>
  <c r="F2341" i="91"/>
  <c r="G2341" i="91" s="1"/>
  <c r="F2340" i="91"/>
  <c r="G2340" i="91" s="1"/>
  <c r="F2337" i="91"/>
  <c r="G2337" i="91" s="1"/>
  <c r="F2336" i="91"/>
  <c r="G2336" i="91" s="1"/>
  <c r="E2335" i="91"/>
  <c r="F2334" i="91"/>
  <c r="G2334" i="91" s="1"/>
  <c r="F2333" i="91"/>
  <c r="G2333" i="91" s="1"/>
  <c r="E2332" i="91"/>
  <c r="F2332" i="91" s="1"/>
  <c r="G2332" i="91" s="1"/>
  <c r="F2331" i="91"/>
  <c r="G2331" i="91" s="1"/>
  <c r="F2330" i="91"/>
  <c r="G2330" i="91" s="1"/>
  <c r="F2329" i="91"/>
  <c r="G2329" i="91" s="1"/>
  <c r="F2328" i="91"/>
  <c r="G2328" i="91" s="1"/>
  <c r="E2327" i="91"/>
  <c r="F2327" i="91" s="1"/>
  <c r="G2327" i="91" s="1"/>
  <c r="F2326" i="91"/>
  <c r="G2326" i="91" s="1"/>
  <c r="F2325" i="91"/>
  <c r="G2325" i="91" s="1"/>
  <c r="F2323" i="91"/>
  <c r="G2323" i="91" s="1"/>
  <c r="E2322" i="91"/>
  <c r="F2322" i="91" s="1"/>
  <c r="G2322" i="91" s="1"/>
  <c r="F2321" i="91"/>
  <c r="G2321" i="91" s="1"/>
  <c r="F2320" i="91"/>
  <c r="G2320" i="91" s="1"/>
  <c r="E2319" i="91"/>
  <c r="F2318" i="91"/>
  <c r="G2318" i="91" s="1"/>
  <c r="E2317" i="91"/>
  <c r="F2317" i="91" s="1"/>
  <c r="G2317" i="91" s="1"/>
  <c r="F2316" i="91"/>
  <c r="G2316" i="91" s="1"/>
  <c r="E2315" i="91"/>
  <c r="F2315" i="91" s="1"/>
  <c r="G2315" i="91" s="1"/>
  <c r="F2314" i="91"/>
  <c r="G2314" i="91" s="1"/>
  <c r="E2313" i="91"/>
  <c r="F2313" i="91" s="1"/>
  <c r="G2313" i="91" s="1"/>
  <c r="F2312" i="91"/>
  <c r="G2312" i="91" s="1"/>
  <c r="E2311" i="91"/>
  <c r="F2311" i="91" s="1"/>
  <c r="G2311" i="91" s="1"/>
  <c r="F2310" i="91"/>
  <c r="G2310" i="91" s="1"/>
  <c r="F2309" i="91"/>
  <c r="G2309" i="91" s="1"/>
  <c r="E2308" i="91"/>
  <c r="F2308" i="91" s="1"/>
  <c r="G2308" i="91" s="1"/>
  <c r="F2307" i="91"/>
  <c r="G2307" i="91" s="1"/>
  <c r="F2306" i="91"/>
  <c r="G2306" i="91" s="1"/>
  <c r="E2305" i="91"/>
  <c r="F2305" i="91" s="1"/>
  <c r="G2305" i="91" s="1"/>
  <c r="F2304" i="91"/>
  <c r="G2304" i="91" s="1"/>
  <c r="E2303" i="91"/>
  <c r="F2303" i="91" s="1"/>
  <c r="G2303" i="91" s="1"/>
  <c r="F2302" i="91"/>
  <c r="G2302" i="91" s="1"/>
  <c r="E2301" i="91"/>
  <c r="F2301" i="91" s="1"/>
  <c r="G2301" i="91" s="1"/>
  <c r="F2300" i="91"/>
  <c r="G2300" i="91" s="1"/>
  <c r="F2299" i="91"/>
  <c r="G2299" i="91" s="1"/>
  <c r="F2298" i="91"/>
  <c r="G2298" i="91" s="1"/>
  <c r="F2297" i="91"/>
  <c r="G2297" i="91" s="1"/>
  <c r="E2296" i="91"/>
  <c r="F2296" i="91" s="1"/>
  <c r="G2296" i="91" s="1"/>
  <c r="F2295" i="91"/>
  <c r="G2295" i="91" s="1"/>
  <c r="F2294" i="91"/>
  <c r="G2294" i="91" s="1"/>
  <c r="E2293" i="91"/>
  <c r="F2293" i="91" s="1"/>
  <c r="G2293" i="91" s="1"/>
  <c r="F2292" i="91"/>
  <c r="G2292" i="91" s="1"/>
  <c r="F2291" i="91"/>
  <c r="G2291" i="91" s="1"/>
  <c r="E2290" i="91"/>
  <c r="F2290" i="91" s="1"/>
  <c r="G2290" i="91" s="1"/>
  <c r="F2289" i="91"/>
  <c r="G2289" i="91" s="1"/>
  <c r="F2288" i="91"/>
  <c r="G2288" i="91" s="1"/>
  <c r="F2287" i="91"/>
  <c r="G2287" i="91" s="1"/>
  <c r="F2286" i="91"/>
  <c r="G2286" i="91" s="1"/>
  <c r="F2284" i="91"/>
  <c r="G2284" i="91" s="1"/>
  <c r="E2283" i="91"/>
  <c r="F2282" i="91"/>
  <c r="G2282" i="91" s="1"/>
  <c r="F2281" i="91"/>
  <c r="G2281" i="91" s="1"/>
  <c r="E2280" i="91"/>
  <c r="F2280" i="91" s="1"/>
  <c r="G2280" i="91" s="1"/>
  <c r="F2279" i="91"/>
  <c r="G2279" i="91" s="1"/>
  <c r="E2278" i="91"/>
  <c r="F2277" i="91"/>
  <c r="G2277" i="91" s="1"/>
  <c r="E2276" i="91"/>
  <c r="F2276" i="91" s="1"/>
  <c r="G2276" i="91" s="1"/>
  <c r="F2275" i="91"/>
  <c r="G2275" i="91" s="1"/>
  <c r="F2274" i="91"/>
  <c r="G2274" i="91" s="1"/>
  <c r="E2273" i="91"/>
  <c r="F2273" i="91" s="1"/>
  <c r="G2273" i="91" s="1"/>
  <c r="F2272" i="91"/>
  <c r="G2272" i="91" s="1"/>
  <c r="E2271" i="91"/>
  <c r="F2271" i="91" s="1"/>
  <c r="G2271" i="91" s="1"/>
  <c r="F2270" i="91"/>
  <c r="G2270" i="91" s="1"/>
  <c r="F2269" i="91"/>
  <c r="G2269" i="91" s="1"/>
  <c r="F2268" i="91"/>
  <c r="G2268" i="91" s="1"/>
  <c r="E2267" i="91"/>
  <c r="F2267" i="91" s="1"/>
  <c r="G2267" i="91" s="1"/>
  <c r="F2266" i="91"/>
  <c r="G2266" i="91" s="1"/>
  <c r="E2265" i="91"/>
  <c r="F2265" i="91" s="1"/>
  <c r="G2265" i="91" s="1"/>
  <c r="F2264" i="91"/>
  <c r="G2264" i="91" s="1"/>
  <c r="F2263" i="91"/>
  <c r="G2263" i="91" s="1"/>
  <c r="E2262" i="91"/>
  <c r="F2262" i="91" s="1"/>
  <c r="G2262" i="91" s="1"/>
  <c r="F2261" i="91"/>
  <c r="G2261" i="91" s="1"/>
  <c r="F2260" i="91"/>
  <c r="G2260" i="91" s="1"/>
  <c r="F2259" i="91"/>
  <c r="G2259" i="91" s="1"/>
  <c r="F2258" i="91"/>
  <c r="G2258" i="91" s="1"/>
  <c r="F2257" i="91"/>
  <c r="G2257" i="91" s="1"/>
  <c r="E2256" i="91"/>
  <c r="F2256" i="91" s="1"/>
  <c r="G2256" i="91" s="1"/>
  <c r="F2255" i="91"/>
  <c r="G2255" i="91" s="1"/>
  <c r="E2254" i="91"/>
  <c r="F2254" i="91" s="1"/>
  <c r="G2254" i="91" s="1"/>
  <c r="F2253" i="91"/>
  <c r="G2253" i="91" s="1"/>
  <c r="F2252" i="91"/>
  <c r="G2252" i="91" s="1"/>
  <c r="F2251" i="91"/>
  <c r="G2251" i="91" s="1"/>
  <c r="F2250" i="91"/>
  <c r="G2250" i="91" s="1"/>
  <c r="E2249" i="91"/>
  <c r="F2249" i="91" s="1"/>
  <c r="G2249" i="91" s="1"/>
  <c r="F2248" i="91"/>
  <c r="G2248" i="91" s="1"/>
  <c r="F2247" i="91"/>
  <c r="G2247" i="91" s="1"/>
  <c r="F2246" i="91"/>
  <c r="G2246" i="91" s="1"/>
  <c r="F2245" i="91"/>
  <c r="G2245" i="91" s="1"/>
  <c r="E2244" i="91"/>
  <c r="F2244" i="91" s="1"/>
  <c r="G2244" i="91" s="1"/>
  <c r="F2243" i="91"/>
  <c r="G2243" i="91" s="1"/>
  <c r="F2242" i="91"/>
  <c r="G2242" i="91" s="1"/>
  <c r="F2241" i="91"/>
  <c r="G2241" i="91" s="1"/>
  <c r="F2240" i="91"/>
  <c r="G2240" i="91" s="1"/>
  <c r="F2239" i="91"/>
  <c r="G2239" i="91" s="1"/>
  <c r="E2238" i="91"/>
  <c r="F2238" i="91" s="1"/>
  <c r="G2238" i="91" s="1"/>
  <c r="F2237" i="91"/>
  <c r="G2237" i="91" s="1"/>
  <c r="F2236" i="91"/>
  <c r="G2236" i="91" s="1"/>
  <c r="F2235" i="91"/>
  <c r="G2235" i="91" s="1"/>
  <c r="E2234" i="91"/>
  <c r="F2234" i="91" s="1"/>
  <c r="G2234" i="91" s="1"/>
  <c r="F2233" i="91"/>
  <c r="G2233" i="91" s="1"/>
  <c r="F2232" i="91"/>
  <c r="G2232" i="91" s="1"/>
  <c r="E2231" i="91"/>
  <c r="F2231" i="91" s="1"/>
  <c r="G2231" i="91" s="1"/>
  <c r="F2230" i="91"/>
  <c r="G2230" i="91" s="1"/>
  <c r="E2229" i="91"/>
  <c r="F2228" i="91"/>
  <c r="G2228" i="91" s="1"/>
  <c r="F2216" i="91"/>
  <c r="G2216" i="91" s="1"/>
  <c r="E2215" i="91"/>
  <c r="F2215" i="91" s="1"/>
  <c r="G2215" i="91" s="1"/>
  <c r="F2214" i="91"/>
  <c r="G2214" i="91" s="1"/>
  <c r="F2213" i="91"/>
  <c r="G2213" i="91" s="1"/>
  <c r="F2212" i="91"/>
  <c r="G2212" i="91" s="1"/>
  <c r="F2211" i="91"/>
  <c r="G2211" i="91" s="1"/>
  <c r="F2210" i="91"/>
  <c r="G2210" i="91" s="1"/>
  <c r="F2209" i="91"/>
  <c r="G2209" i="91" s="1"/>
  <c r="F2208" i="91"/>
  <c r="G2208" i="91" s="1"/>
  <c r="F2207" i="91"/>
  <c r="G2207" i="91" s="1"/>
  <c r="F2206" i="91"/>
  <c r="G2206" i="91" s="1"/>
  <c r="E2205" i="91"/>
  <c r="F2204" i="91"/>
  <c r="G2204" i="91" s="1"/>
  <c r="F2203" i="91"/>
  <c r="G2203" i="91" s="1"/>
  <c r="E2201" i="91"/>
  <c r="E2200" i="91"/>
  <c r="F2200" i="91" s="1"/>
  <c r="G2200" i="91" s="1"/>
  <c r="E2198" i="91"/>
  <c r="F2198" i="91" s="1"/>
  <c r="G2198" i="91" s="1"/>
  <c r="E2197" i="91"/>
  <c r="F2197" i="91" s="1"/>
  <c r="G2197" i="91" s="1"/>
  <c r="E2195" i="91"/>
  <c r="F2195" i="91" s="1"/>
  <c r="G2195" i="91" s="1"/>
  <c r="E2194" i="91"/>
  <c r="F2194" i="91" s="1"/>
  <c r="G2194" i="91" s="1"/>
  <c r="E2192" i="91"/>
  <c r="F2192" i="91" s="1"/>
  <c r="G2192" i="91" s="1"/>
  <c r="E2190" i="91"/>
  <c r="F2190" i="91" s="1"/>
  <c r="G2190" i="91" s="1"/>
  <c r="E2189" i="91"/>
  <c r="F2189" i="91" s="1"/>
  <c r="G2189" i="91" s="1"/>
  <c r="E2188" i="91"/>
  <c r="F2188" i="91" s="1"/>
  <c r="G2188" i="91" s="1"/>
  <c r="F2186" i="91"/>
  <c r="G2186" i="91" s="1"/>
  <c r="F2185" i="91"/>
  <c r="G2185" i="91" s="1"/>
  <c r="F2184" i="91"/>
  <c r="G2184" i="91" s="1"/>
  <c r="E2183" i="91"/>
  <c r="F2183" i="91" s="1"/>
  <c r="G2183" i="91" s="1"/>
  <c r="E2182" i="91"/>
  <c r="F2182" i="91" s="1"/>
  <c r="G2182" i="91" s="1"/>
  <c r="E2181" i="91"/>
  <c r="F2181" i="91" s="1"/>
  <c r="G2181" i="91" s="1"/>
  <c r="E2179" i="91"/>
  <c r="F2179" i="91" s="1"/>
  <c r="G2179" i="91" s="1"/>
  <c r="E2178" i="91"/>
  <c r="F2178" i="91" s="1"/>
  <c r="G2178" i="91" s="1"/>
  <c r="E2177" i="91"/>
  <c r="F2177" i="91" s="1"/>
  <c r="G2177" i="91" s="1"/>
  <c r="E2176" i="91"/>
  <c r="F2176" i="91" s="1"/>
  <c r="G2176" i="91" s="1"/>
  <c r="E2175" i="91"/>
  <c r="F2175" i="91" s="1"/>
  <c r="G2175" i="91" s="1"/>
  <c r="F2173" i="91"/>
  <c r="G2173" i="91" s="1"/>
  <c r="E2172" i="91"/>
  <c r="F2172" i="91" s="1"/>
  <c r="G2172" i="91" s="1"/>
  <c r="E2170" i="91"/>
  <c r="F2170" i="91" s="1"/>
  <c r="G2170" i="91" s="1"/>
  <c r="E2169" i="91"/>
  <c r="F2169" i="91" s="1"/>
  <c r="G2169" i="91" s="1"/>
  <c r="E2167" i="91"/>
  <c r="F2167" i="91" s="1"/>
  <c r="G2167" i="91" s="1"/>
  <c r="E2166" i="91"/>
  <c r="F2166" i="91" s="1"/>
  <c r="G2166" i="91" s="1"/>
  <c r="F2164" i="91"/>
  <c r="G2164" i="91" s="1"/>
  <c r="F2163" i="91"/>
  <c r="G2163" i="91" s="1"/>
  <c r="E2162" i="91"/>
  <c r="F2162" i="91" s="1"/>
  <c r="G2162" i="91" s="1"/>
  <c r="F2161" i="91"/>
  <c r="G2161" i="91" s="1"/>
  <c r="E2160" i="91"/>
  <c r="F2160" i="91" s="1"/>
  <c r="G2160" i="91" s="1"/>
  <c r="F2159" i="91"/>
  <c r="G2159" i="91" s="1"/>
  <c r="E2158" i="91"/>
  <c r="F2157" i="91"/>
  <c r="G2157" i="91" s="1"/>
  <c r="F2156" i="91"/>
  <c r="G2156" i="91" s="1"/>
  <c r="F2155" i="91"/>
  <c r="G2155" i="91" s="1"/>
  <c r="F2154" i="91"/>
  <c r="G2154" i="91" s="1"/>
  <c r="F2153" i="91"/>
  <c r="G2153" i="91" s="1"/>
  <c r="F2149" i="91"/>
  <c r="G2149" i="91" s="1"/>
  <c r="E2146" i="91"/>
  <c r="F2146" i="91" s="1"/>
  <c r="G2146" i="91" s="1"/>
  <c r="E2144" i="91"/>
  <c r="F2144" i="91" s="1"/>
  <c r="G2144" i="91" s="1"/>
  <c r="E2143" i="91"/>
  <c r="F2143" i="91" s="1"/>
  <c r="G2143" i="91" s="1"/>
  <c r="E2142" i="91"/>
  <c r="F2142" i="91" s="1"/>
  <c r="G2142" i="91" s="1"/>
  <c r="F2140" i="91"/>
  <c r="G2140" i="91" s="1"/>
  <c r="F2139" i="91"/>
  <c r="G2139" i="91" s="1"/>
  <c r="F2137" i="91"/>
  <c r="G2137" i="91" s="1"/>
  <c r="E2136" i="91"/>
  <c r="F2136" i="91" s="1"/>
  <c r="G2136" i="91" s="1"/>
  <c r="F2135" i="91"/>
  <c r="G2135" i="91" s="1"/>
  <c r="E2134" i="91"/>
  <c r="F2134" i="91" s="1"/>
  <c r="G2134" i="91" s="1"/>
  <c r="E2133" i="91"/>
  <c r="E2132" i="91"/>
  <c r="F2132" i="91" s="1"/>
  <c r="G2132" i="91" s="1"/>
  <c r="F2131" i="91"/>
  <c r="G2131" i="91" s="1"/>
  <c r="F2129" i="91"/>
  <c r="G2129" i="91" s="1"/>
  <c r="E2128" i="91"/>
  <c r="F2128" i="91" s="1"/>
  <c r="G2128" i="91" s="1"/>
  <c r="F2127" i="91"/>
  <c r="G2127" i="91" s="1"/>
  <c r="E2126" i="91"/>
  <c r="F2125" i="91"/>
  <c r="G2125" i="91" s="1"/>
  <c r="F2124" i="91"/>
  <c r="G2124" i="91" s="1"/>
  <c r="F2121" i="91"/>
  <c r="G2121" i="91" s="1"/>
  <c r="E2120" i="91"/>
  <c r="E2119" i="91"/>
  <c r="F2119" i="91" s="1"/>
  <c r="G2119" i="91" s="1"/>
  <c r="E2118" i="91"/>
  <c r="F2118" i="91" s="1"/>
  <c r="G2118" i="91" s="1"/>
  <c r="E2117" i="91"/>
  <c r="F2117" i="91" s="1"/>
  <c r="G2117" i="91" s="1"/>
  <c r="F2115" i="91"/>
  <c r="G2115" i="91" s="1"/>
  <c r="F2114" i="91"/>
  <c r="G2114" i="91" s="1"/>
  <c r="E2112" i="91"/>
  <c r="F2112" i="91" s="1"/>
  <c r="G2112" i="91" s="1"/>
  <c r="F2110" i="91"/>
  <c r="G2110" i="91" s="1"/>
  <c r="E2109" i="91"/>
  <c r="F2109" i="91" s="1"/>
  <c r="G2109" i="91" s="1"/>
  <c r="F2108" i="91"/>
  <c r="G2108" i="91" s="1"/>
  <c r="E2107" i="91"/>
  <c r="F2106" i="91"/>
  <c r="G2106" i="91" s="1"/>
  <c r="F2105" i="91"/>
  <c r="G2105" i="91" s="1"/>
  <c r="F2102" i="91"/>
  <c r="G2102" i="91" s="1"/>
  <c r="E2101" i="91"/>
  <c r="F2101" i="91" s="1"/>
  <c r="G2101" i="91" s="1"/>
  <c r="F2100" i="91"/>
  <c r="G2100" i="91" s="1"/>
  <c r="F2099" i="91"/>
  <c r="G2099" i="91" s="1"/>
  <c r="F2098" i="91"/>
  <c r="G2098" i="91" s="1"/>
  <c r="E2097" i="91"/>
  <c r="F2097" i="91" s="1"/>
  <c r="G2097" i="91" s="1"/>
  <c r="F2096" i="91"/>
  <c r="G2096" i="91" s="1"/>
  <c r="E2095" i="91"/>
  <c r="F2094" i="91"/>
  <c r="G2094" i="91" s="1"/>
  <c r="F2093" i="91"/>
  <c r="G2093" i="91" s="1"/>
  <c r="E2091" i="91"/>
  <c r="F2091" i="91" s="1"/>
  <c r="G2091" i="91" s="1"/>
  <c r="E2090" i="91"/>
  <c r="F2090" i="91" s="1"/>
  <c r="G2090" i="91" s="1"/>
  <c r="E2088" i="91"/>
  <c r="F2088" i="91" s="1"/>
  <c r="G2088" i="91" s="1"/>
  <c r="E2086" i="91"/>
  <c r="E2085" i="91" s="1"/>
  <c r="F2085" i="91" s="1"/>
  <c r="G2085" i="91" s="1"/>
  <c r="F2084" i="91"/>
  <c r="G2084" i="91" s="1"/>
  <c r="F2083" i="91"/>
  <c r="G2083" i="91" s="1"/>
  <c r="E2081" i="91"/>
  <c r="F2080" i="91"/>
  <c r="G2080" i="91" s="1"/>
  <c r="F2079" i="91"/>
  <c r="G2079" i="91" s="1"/>
  <c r="F2078" i="91"/>
  <c r="G2078" i="91" s="1"/>
  <c r="F2077" i="91"/>
  <c r="G2077" i="91" s="1"/>
  <c r="F2075" i="91"/>
  <c r="G2075" i="91" s="1"/>
  <c r="E2074" i="91"/>
  <c r="F2074" i="91" s="1"/>
  <c r="G2074" i="91" s="1"/>
  <c r="E2073" i="91"/>
  <c r="F2073" i="91" s="1"/>
  <c r="G2073" i="91" s="1"/>
  <c r="E2071" i="91"/>
  <c r="F2070" i="91"/>
  <c r="G2070" i="91" s="1"/>
  <c r="E2069" i="91"/>
  <c r="F2069" i="91" s="1"/>
  <c r="G2069" i="91" s="1"/>
  <c r="F2067" i="91"/>
  <c r="G2067" i="91" s="1"/>
  <c r="F2066" i="91"/>
  <c r="G2066" i="91" s="1"/>
  <c r="F2063" i="91"/>
  <c r="G2063" i="91" s="1"/>
  <c r="E2062" i="91"/>
  <c r="F2062" i="91" s="1"/>
  <c r="G2062" i="91" s="1"/>
  <c r="E2061" i="91"/>
  <c r="F2061" i="91" s="1"/>
  <c r="G2061" i="91" s="1"/>
  <c r="F2059" i="91"/>
  <c r="G2059" i="91" s="1"/>
  <c r="E2058" i="91"/>
  <c r="F2058" i="91" s="1"/>
  <c r="G2058" i="91" s="1"/>
  <c r="F2057" i="91"/>
  <c r="G2057" i="91" s="1"/>
  <c r="F2056" i="91"/>
  <c r="G2056" i="91" s="1"/>
  <c r="F2054" i="91"/>
  <c r="G2054" i="91" s="1"/>
  <c r="F2053" i="91"/>
  <c r="G2053" i="91" s="1"/>
  <c r="E2052" i="91"/>
  <c r="F2051" i="91"/>
  <c r="G2051" i="91" s="1"/>
  <c r="E2050" i="91"/>
  <c r="F2050" i="91" s="1"/>
  <c r="G2050" i="91" s="1"/>
  <c r="E2049" i="91"/>
  <c r="F2049" i="91" s="1"/>
  <c r="G2049" i="91" s="1"/>
  <c r="E2048" i="91"/>
  <c r="F2046" i="91"/>
  <c r="G2046" i="91" s="1"/>
  <c r="E2045" i="91"/>
  <c r="F2045" i="91" s="1"/>
  <c r="G2045" i="91" s="1"/>
  <c r="E2044" i="91"/>
  <c r="F2044" i="91" s="1"/>
  <c r="G2044" i="91" s="1"/>
  <c r="F2043" i="91"/>
  <c r="G2043" i="91" s="1"/>
  <c r="F2042" i="91"/>
  <c r="G2042" i="91" s="1"/>
  <c r="E2040" i="91"/>
  <c r="F2040" i="91" s="1"/>
  <c r="G2040" i="91" s="1"/>
  <c r="F2038" i="91"/>
  <c r="G2038" i="91" s="1"/>
  <c r="E2037" i="91"/>
  <c r="E2033" i="91" s="1"/>
  <c r="F2033" i="91" s="1"/>
  <c r="G2033" i="91" s="1"/>
  <c r="F2036" i="91"/>
  <c r="G2036" i="91" s="1"/>
  <c r="F2035" i="91"/>
  <c r="G2035" i="91" s="1"/>
  <c r="F2034" i="91"/>
  <c r="G2034" i="91" s="1"/>
  <c r="E2032" i="91"/>
  <c r="F2032" i="91" s="1"/>
  <c r="G2032" i="91" s="1"/>
  <c r="F2031" i="91"/>
  <c r="G2031" i="91" s="1"/>
  <c r="F2029" i="91"/>
  <c r="G2029" i="91" s="1"/>
  <c r="F2028" i="91"/>
  <c r="G2028" i="91" s="1"/>
  <c r="E2027" i="91"/>
  <c r="F2027" i="91" s="1"/>
  <c r="G2027" i="91" s="1"/>
  <c r="E2026" i="91"/>
  <c r="E2025" i="91" s="1"/>
  <c r="F2025" i="91" s="1"/>
  <c r="G2025" i="91" s="1"/>
  <c r="F2024" i="91"/>
  <c r="G2024" i="91" s="1"/>
  <c r="F2023" i="91"/>
  <c r="G2023" i="91" s="1"/>
  <c r="E2022" i="91"/>
  <c r="F2022" i="91" s="1"/>
  <c r="G2022" i="91" s="1"/>
  <c r="F2021" i="91"/>
  <c r="G2021" i="91" s="1"/>
  <c r="E2020" i="91"/>
  <c r="F2020" i="91" s="1"/>
  <c r="G2020" i="91" s="1"/>
  <c r="F2019" i="91"/>
  <c r="G2019" i="91" s="1"/>
  <c r="E2018" i="91"/>
  <c r="F2017" i="91"/>
  <c r="G2017" i="91" s="1"/>
  <c r="F2016" i="91"/>
  <c r="G2016" i="91" s="1"/>
  <c r="F2015" i="91"/>
  <c r="G2015" i="91" s="1"/>
  <c r="F2014" i="91"/>
  <c r="G2014" i="91" s="1"/>
  <c r="F2010" i="91"/>
  <c r="G2010" i="91" s="1"/>
  <c r="E2009" i="91"/>
  <c r="C785" i="3" s="1"/>
  <c r="F2008" i="91"/>
  <c r="G2008" i="91" s="1"/>
  <c r="F2007" i="91"/>
  <c r="G2007" i="91" s="1"/>
  <c r="F2006" i="91"/>
  <c r="G2006" i="91" s="1"/>
  <c r="F2005" i="91"/>
  <c r="G2005" i="91" s="1"/>
  <c r="E2004" i="91"/>
  <c r="F2003" i="91"/>
  <c r="G2003" i="91" s="1"/>
  <c r="F2002" i="91"/>
  <c r="G2002" i="91" s="1"/>
  <c r="F2001" i="91"/>
  <c r="G2001" i="91" s="1"/>
  <c r="F2000" i="91"/>
  <c r="G2000" i="91" s="1"/>
  <c r="F1999" i="91"/>
  <c r="G1999" i="91" s="1"/>
  <c r="F1998" i="91"/>
  <c r="G1998" i="91" s="1"/>
  <c r="E1997" i="91"/>
  <c r="F1997" i="91" s="1"/>
  <c r="G1997" i="91" s="1"/>
  <c r="F1996" i="91"/>
  <c r="G1996" i="91" s="1"/>
  <c r="F1995" i="91"/>
  <c r="G1995" i="91" s="1"/>
  <c r="F1994" i="91"/>
  <c r="G1994" i="91" s="1"/>
  <c r="F1993" i="91"/>
  <c r="G1993" i="91" s="1"/>
  <c r="F1992" i="91"/>
  <c r="G1992" i="91" s="1"/>
  <c r="F1991" i="91"/>
  <c r="G1991" i="91" s="1"/>
  <c r="F1990" i="91"/>
  <c r="G1990" i="91" s="1"/>
  <c r="F1989" i="91"/>
  <c r="G1989" i="91" s="1"/>
  <c r="E1988" i="91"/>
  <c r="F1988" i="91" s="1"/>
  <c r="G1988" i="91" s="1"/>
  <c r="F1987" i="91"/>
  <c r="G1987" i="91" s="1"/>
  <c r="E1986" i="91"/>
  <c r="F1986" i="91" s="1"/>
  <c r="G1986" i="91" s="1"/>
  <c r="E1985" i="91"/>
  <c r="F1985" i="91" s="1"/>
  <c r="G1985" i="91" s="1"/>
  <c r="E1984" i="91"/>
  <c r="F1984" i="91" s="1"/>
  <c r="G1984" i="91" s="1"/>
  <c r="F1982" i="91"/>
  <c r="G1982" i="91" s="1"/>
  <c r="F1981" i="91"/>
  <c r="G1981" i="91" s="1"/>
  <c r="F1980" i="91"/>
  <c r="G1980" i="91" s="1"/>
  <c r="E1977" i="91"/>
  <c r="F1977" i="91" s="1"/>
  <c r="G1977" i="91" s="1"/>
  <c r="F1975" i="91"/>
  <c r="G1975" i="91" s="1"/>
  <c r="F1974" i="91"/>
  <c r="G1974" i="91" s="1"/>
  <c r="F1972" i="91"/>
  <c r="G1972" i="91" s="1"/>
  <c r="F1971" i="91"/>
  <c r="G1971" i="91" s="1"/>
  <c r="F1968" i="91"/>
  <c r="G1968" i="91" s="1"/>
  <c r="F1967" i="91"/>
  <c r="G1967" i="91" s="1"/>
  <c r="E1966" i="91"/>
  <c r="F1965" i="91"/>
  <c r="G1965" i="91" s="1"/>
  <c r="F1964" i="91"/>
  <c r="G1964" i="91" s="1"/>
  <c r="E1962" i="91"/>
  <c r="E1961" i="91" s="1"/>
  <c r="F1961" i="91" s="1"/>
  <c r="G1961" i="91" s="1"/>
  <c r="E1960" i="91"/>
  <c r="F1960" i="91" s="1"/>
  <c r="G1960" i="91" s="1"/>
  <c r="E1959" i="91"/>
  <c r="F1959" i="91" s="1"/>
  <c r="G1959" i="91" s="1"/>
  <c r="F1957" i="91"/>
  <c r="G1957" i="91" s="1"/>
  <c r="E1956" i="91"/>
  <c r="F1956" i="91" s="1"/>
  <c r="G1956" i="91" s="1"/>
  <c r="F1954" i="91"/>
  <c r="G1954" i="91" s="1"/>
  <c r="F1953" i="91"/>
  <c r="G1953" i="91" s="1"/>
  <c r="E1952" i="91"/>
  <c r="F1952" i="91" s="1"/>
  <c r="G1952" i="91" s="1"/>
  <c r="F1951" i="91"/>
  <c r="G1951" i="91" s="1"/>
  <c r="E1950" i="91"/>
  <c r="F1950" i="91" s="1"/>
  <c r="G1950" i="91" s="1"/>
  <c r="F1949" i="91"/>
  <c r="G1949" i="91" s="1"/>
  <c r="F1948" i="91"/>
  <c r="G1948" i="91" s="1"/>
  <c r="F1947" i="91"/>
  <c r="G1947" i="91" s="1"/>
  <c r="E1945" i="91"/>
  <c r="E1944" i="91" s="1"/>
  <c r="F1944" i="91" s="1"/>
  <c r="G1944" i="91" s="1"/>
  <c r="F1943" i="91"/>
  <c r="G1943" i="91" s="1"/>
  <c r="F1942" i="91"/>
  <c r="G1942" i="91" s="1"/>
  <c r="F1941" i="91"/>
  <c r="G1941" i="91" s="1"/>
  <c r="F1940" i="91"/>
  <c r="G1940" i="91" s="1"/>
  <c r="F1938" i="91"/>
  <c r="G1938" i="91" s="1"/>
  <c r="E1936" i="91"/>
  <c r="F1936" i="91" s="1"/>
  <c r="G1936" i="91" s="1"/>
  <c r="E1935" i="91"/>
  <c r="F1935" i="91" s="1"/>
  <c r="G1935" i="91" s="1"/>
  <c r="E1933" i="91"/>
  <c r="F1933" i="91" s="1"/>
  <c r="G1933" i="91" s="1"/>
  <c r="E1931" i="91"/>
  <c r="F1931" i="91" s="1"/>
  <c r="G1931" i="91" s="1"/>
  <c r="E1930" i="91"/>
  <c r="F1930" i="91" s="1"/>
  <c r="G1930" i="91" s="1"/>
  <c r="E1928" i="91"/>
  <c r="F1928" i="91" s="1"/>
  <c r="G1928" i="91" s="1"/>
  <c r="F1927" i="91"/>
  <c r="G1927" i="91" s="1"/>
  <c r="E1925" i="91"/>
  <c r="F1925" i="91" s="1"/>
  <c r="G1925" i="91" s="1"/>
  <c r="F1923" i="91"/>
  <c r="G1923" i="91" s="1"/>
  <c r="E1922" i="91"/>
  <c r="F1922" i="91" s="1"/>
  <c r="G1922" i="91" s="1"/>
  <c r="E1921" i="91"/>
  <c r="F1921" i="91" s="1"/>
  <c r="G1921" i="91" s="1"/>
  <c r="E1919" i="91"/>
  <c r="F1919" i="91" s="1"/>
  <c r="G1919" i="91" s="1"/>
  <c r="E1918" i="91"/>
  <c r="E1916" i="91"/>
  <c r="F1916" i="91" s="1"/>
  <c r="G1916" i="91" s="1"/>
  <c r="E1915" i="91"/>
  <c r="F1914" i="91"/>
  <c r="G1914" i="91" s="1"/>
  <c r="F1913" i="91"/>
  <c r="G1913" i="91" s="1"/>
  <c r="E1912" i="91"/>
  <c r="F1912" i="91" s="1"/>
  <c r="G1912" i="91" s="1"/>
  <c r="E1910" i="91"/>
  <c r="F1910" i="91" s="1"/>
  <c r="G1910" i="91" s="1"/>
  <c r="E1909" i="91"/>
  <c r="F1909" i="91" s="1"/>
  <c r="G1909" i="91" s="1"/>
  <c r="E1907" i="91"/>
  <c r="F1907" i="91" s="1"/>
  <c r="G1907" i="91" s="1"/>
  <c r="E1906" i="91"/>
  <c r="E1904" i="91"/>
  <c r="F1904" i="91" s="1"/>
  <c r="G1904" i="91" s="1"/>
  <c r="E1903" i="91"/>
  <c r="F1903" i="91" s="1"/>
  <c r="G1903" i="91" s="1"/>
  <c r="E1902" i="91"/>
  <c r="F1902" i="91" s="1"/>
  <c r="G1902" i="91" s="1"/>
  <c r="E1900" i="91"/>
  <c r="F1900" i="91" s="1"/>
  <c r="G1900" i="91" s="1"/>
  <c r="E1899" i="91"/>
  <c r="E1898" i="91"/>
  <c r="F1898" i="91" s="1"/>
  <c r="G1898" i="91" s="1"/>
  <c r="E1896" i="91"/>
  <c r="F1896" i="91" s="1"/>
  <c r="G1896" i="91" s="1"/>
  <c r="F1894" i="91"/>
  <c r="G1894" i="91" s="1"/>
  <c r="E1893" i="91"/>
  <c r="F1892" i="91"/>
  <c r="G1892" i="91" s="1"/>
  <c r="F1891" i="91"/>
  <c r="G1891" i="91" s="1"/>
  <c r="F1890" i="91"/>
  <c r="G1890" i="91" s="1"/>
  <c r="F1617" i="91"/>
  <c r="E1616" i="91"/>
  <c r="C571" i="3" s="1"/>
  <c r="D571" i="3" s="1"/>
  <c r="E571" i="3" s="1"/>
  <c r="F1615" i="91"/>
  <c r="F1614" i="91" s="1"/>
  <c r="E1614" i="91"/>
  <c r="F1613" i="91"/>
  <c r="F1612" i="91"/>
  <c r="G1612" i="91" s="1"/>
  <c r="F1611" i="91"/>
  <c r="G1611" i="91" s="1"/>
  <c r="E1610" i="91"/>
  <c r="F1609" i="91"/>
  <c r="F1608" i="91" s="1"/>
  <c r="E1608" i="91"/>
  <c r="F1607" i="91"/>
  <c r="G1607" i="91" s="1"/>
  <c r="F1606" i="91"/>
  <c r="G1606" i="91" s="1"/>
  <c r="F1605" i="91"/>
  <c r="E1604" i="91"/>
  <c r="F1597" i="91"/>
  <c r="G1597" i="91" s="1"/>
  <c r="G1596" i="91" s="1"/>
  <c r="E1596" i="91"/>
  <c r="F1595" i="91"/>
  <c r="F1594" i="91" s="1"/>
  <c r="E1594" i="91"/>
  <c r="F1593" i="91"/>
  <c r="G1593" i="91" s="1"/>
  <c r="F1592" i="91"/>
  <c r="G1592" i="91" s="1"/>
  <c r="F1591" i="91"/>
  <c r="E1590" i="91"/>
  <c r="F1586" i="91"/>
  <c r="F1585" i="91" s="1"/>
  <c r="E1585" i="91"/>
  <c r="F1584" i="91"/>
  <c r="G1584" i="91" s="1"/>
  <c r="F1583" i="91"/>
  <c r="G1583" i="91" s="1"/>
  <c r="E1582" i="91"/>
  <c r="F1581" i="91"/>
  <c r="F1580" i="91" s="1"/>
  <c r="E1580" i="91"/>
  <c r="F1579" i="91"/>
  <c r="F1578" i="91" s="1"/>
  <c r="E1578" i="91"/>
  <c r="F1577" i="91"/>
  <c r="E1576" i="91"/>
  <c r="F1575" i="91"/>
  <c r="G1575" i="91" s="1"/>
  <c r="G1574" i="91" s="1"/>
  <c r="E1574" i="91"/>
  <c r="F1573" i="91"/>
  <c r="G1573" i="91" s="1"/>
  <c r="F1572" i="91"/>
  <c r="G1572" i="91" s="1"/>
  <c r="E1571" i="91"/>
  <c r="F1571" i="91" s="1"/>
  <c r="F1569" i="91"/>
  <c r="G1569" i="91" s="1"/>
  <c r="F1568" i="91"/>
  <c r="E1567" i="91"/>
  <c r="F1566" i="91"/>
  <c r="G1566" i="91" s="1"/>
  <c r="F1565" i="91"/>
  <c r="G1565" i="91" s="1"/>
  <c r="F1564" i="91"/>
  <c r="G1564" i="91" s="1"/>
  <c r="F1563" i="91"/>
  <c r="E1562" i="91"/>
  <c r="F1561" i="91"/>
  <c r="G1561" i="91" s="1"/>
  <c r="F1560" i="91"/>
  <c r="G1560" i="91" s="1"/>
  <c r="F1559" i="91"/>
  <c r="F1558" i="91"/>
  <c r="G1558" i="91" s="1"/>
  <c r="E1557" i="91"/>
  <c r="F1556" i="91"/>
  <c r="G1556" i="91" s="1"/>
  <c r="F1555" i="91"/>
  <c r="E1554" i="91"/>
  <c r="F1553" i="91"/>
  <c r="G1553" i="91" s="1"/>
  <c r="F1552" i="91"/>
  <c r="G1552" i="91" s="1"/>
  <c r="F1551" i="91"/>
  <c r="G1551" i="91" s="1"/>
  <c r="F1550" i="91"/>
  <c r="G1550" i="91" s="1"/>
  <c r="E1549" i="91"/>
  <c r="F1548" i="91"/>
  <c r="G1548" i="91" s="1"/>
  <c r="F1547" i="91"/>
  <c r="G1547" i="91" s="1"/>
  <c r="F1546" i="91"/>
  <c r="E1545" i="91"/>
  <c r="F1537" i="91"/>
  <c r="F1536" i="91" s="1"/>
  <c r="E1536" i="91"/>
  <c r="F1535" i="91"/>
  <c r="G1535" i="91" s="1"/>
  <c r="G1534" i="91" s="1"/>
  <c r="E1534" i="91"/>
  <c r="F1533" i="91"/>
  <c r="G1533" i="91" s="1"/>
  <c r="F1532" i="91"/>
  <c r="E1531" i="91"/>
  <c r="F1527" i="91"/>
  <c r="G1527" i="91" s="1"/>
  <c r="G1526" i="91" s="1"/>
  <c r="E1526" i="91"/>
  <c r="F1525" i="91"/>
  <c r="G1525" i="91" s="1"/>
  <c r="E1524" i="91"/>
  <c r="F1524" i="91" s="1"/>
  <c r="G1524" i="91" s="1"/>
  <c r="F1523" i="91"/>
  <c r="G1523" i="91" s="1"/>
  <c r="F1522" i="91"/>
  <c r="E1521" i="91"/>
  <c r="F1520" i="91"/>
  <c r="G1520" i="91" s="1"/>
  <c r="E1519" i="91"/>
  <c r="F1519" i="91" s="1"/>
  <c r="G1519" i="91" s="1"/>
  <c r="F1518" i="91"/>
  <c r="G1518" i="91" s="1"/>
  <c r="G1517" i="91" s="1"/>
  <c r="E1517" i="91"/>
  <c r="F1516" i="91"/>
  <c r="G1516" i="91" s="1"/>
  <c r="F1515" i="91"/>
  <c r="G1515" i="91" s="1"/>
  <c r="F1514" i="91"/>
  <c r="E1513" i="91"/>
  <c r="F1512" i="91"/>
  <c r="F1511" i="91" s="1"/>
  <c r="E1511" i="91"/>
  <c r="F1510" i="91"/>
  <c r="G1510" i="91" s="1"/>
  <c r="F1509" i="91"/>
  <c r="F1508" i="91"/>
  <c r="G1508" i="91" s="1"/>
  <c r="E1507" i="91"/>
  <c r="F1506" i="91"/>
  <c r="G1506" i="91" s="1"/>
  <c r="F1505" i="91"/>
  <c r="G1505" i="91" s="1"/>
  <c r="E1504" i="91"/>
  <c r="F1503" i="91"/>
  <c r="G1503" i="91" s="1"/>
  <c r="F1502" i="91"/>
  <c r="G1502" i="91" s="1"/>
  <c r="F1501" i="91"/>
  <c r="G1501" i="91" s="1"/>
  <c r="F1500" i="91"/>
  <c r="G1500" i="91" s="1"/>
  <c r="F1499" i="91"/>
  <c r="E1498" i="91"/>
  <c r="F1497" i="91"/>
  <c r="G1497" i="91" s="1"/>
  <c r="F1496" i="91"/>
  <c r="G1496" i="91" s="1"/>
  <c r="F1495" i="91"/>
  <c r="G1495" i="91" s="1"/>
  <c r="E1494" i="91"/>
  <c r="F1494" i="91" s="1"/>
  <c r="G1494" i="91" s="1"/>
  <c r="F1493" i="91"/>
  <c r="G1493" i="91" s="1"/>
  <c r="F1492" i="91"/>
  <c r="E1491" i="91"/>
  <c r="F1490" i="91"/>
  <c r="G1490" i="91" s="1"/>
  <c r="F1489" i="91"/>
  <c r="G1489" i="91" s="1"/>
  <c r="F1488" i="91"/>
  <c r="E1487" i="91"/>
  <c r="F1486" i="91"/>
  <c r="E1485" i="91"/>
  <c r="F1478" i="91"/>
  <c r="G1478" i="91" s="1"/>
  <c r="G1477" i="91" s="1"/>
  <c r="E1477" i="91"/>
  <c r="C528" i="3" s="1"/>
  <c r="F1476" i="91"/>
  <c r="F1475" i="91" s="1"/>
  <c r="E1475" i="91"/>
  <c r="F1474" i="91"/>
  <c r="E1473" i="91"/>
  <c r="F1472" i="91"/>
  <c r="E1471" i="91"/>
  <c r="F1470" i="91"/>
  <c r="F1469" i="91" s="1"/>
  <c r="E1469" i="91"/>
  <c r="F1468" i="91"/>
  <c r="F1467" i="91" s="1"/>
  <c r="E1467" i="91"/>
  <c r="F1466" i="91"/>
  <c r="E1465" i="91"/>
  <c r="F1464" i="91"/>
  <c r="G1464" i="91" s="1"/>
  <c r="F1463" i="91"/>
  <c r="E1462" i="91"/>
  <c r="F1461" i="91"/>
  <c r="G1461" i="91" s="1"/>
  <c r="F1460" i="91"/>
  <c r="F1459" i="91"/>
  <c r="G1459" i="91" s="1"/>
  <c r="F1458" i="91"/>
  <c r="G1458" i="91" s="1"/>
  <c r="E1457" i="91"/>
  <c r="F1456" i="91"/>
  <c r="G1456" i="91" s="1"/>
  <c r="F1455" i="91"/>
  <c r="G1455" i="91" s="1"/>
  <c r="F1454" i="91"/>
  <c r="G1454" i="91" s="1"/>
  <c r="F1453" i="91"/>
  <c r="G1453" i="91" s="1"/>
  <c r="E1452" i="91"/>
  <c r="F1451" i="91"/>
  <c r="G1451" i="91" s="1"/>
  <c r="F1450" i="91"/>
  <c r="G1450" i="91" s="1"/>
  <c r="E1449" i="91"/>
  <c r="F1448" i="91"/>
  <c r="G1448" i="91" s="1"/>
  <c r="F1447" i="91"/>
  <c r="G1447" i="91" s="1"/>
  <c r="F1446" i="91"/>
  <c r="E1445" i="91"/>
  <c r="F1444" i="91"/>
  <c r="G1444" i="91" s="1"/>
  <c r="G1443" i="91" s="1"/>
  <c r="E1443" i="91"/>
  <c r="F1442" i="91"/>
  <c r="F1441" i="91"/>
  <c r="G1441" i="91" s="1"/>
  <c r="E1440" i="91"/>
  <c r="F1439" i="91"/>
  <c r="E1438" i="91"/>
  <c r="C526" i="3" s="1"/>
  <c r="F1426" i="91"/>
  <c r="G1426" i="91" s="1"/>
  <c r="F1425" i="91"/>
  <c r="G1425" i="91" s="1"/>
  <c r="F1424" i="91"/>
  <c r="G1424" i="91" s="1"/>
  <c r="F1423" i="91"/>
  <c r="G1423" i="91" s="1"/>
  <c r="F1422" i="91"/>
  <c r="G1422" i="91" s="1"/>
  <c r="E1421" i="91"/>
  <c r="E1427" i="91" s="1"/>
  <c r="F1420" i="91"/>
  <c r="G1420" i="91" s="1"/>
  <c r="F1419" i="91"/>
  <c r="G1419" i="91" s="1"/>
  <c r="F1418" i="91"/>
  <c r="G1418" i="91" s="1"/>
  <c r="F1416" i="91"/>
  <c r="G1416" i="91" s="1"/>
  <c r="E1415" i="91"/>
  <c r="F1415" i="91" s="1"/>
  <c r="G1415" i="91" s="1"/>
  <c r="F1414" i="91"/>
  <c r="G1414" i="91" s="1"/>
  <c r="E1413" i="91"/>
  <c r="F1413" i="91" s="1"/>
  <c r="G1413" i="91" s="1"/>
  <c r="F1412" i="91"/>
  <c r="G1412" i="91" s="1"/>
  <c r="E1411" i="91"/>
  <c r="F1411" i="91" s="1"/>
  <c r="G1411" i="91" s="1"/>
  <c r="F1410" i="91"/>
  <c r="G1410" i="91" s="1"/>
  <c r="E1409" i="91"/>
  <c r="F1409" i="91" s="1"/>
  <c r="G1409" i="91" s="1"/>
  <c r="F1408" i="91"/>
  <c r="G1408" i="91" s="1"/>
  <c r="F1407" i="91"/>
  <c r="G1407" i="91" s="1"/>
  <c r="F1406" i="91"/>
  <c r="G1406" i="91" s="1"/>
  <c r="F1405" i="91"/>
  <c r="G1405" i="91" s="1"/>
  <c r="E1404" i="91"/>
  <c r="F1404" i="91" s="1"/>
  <c r="G1404" i="91" s="1"/>
  <c r="F1403" i="91"/>
  <c r="G1403" i="91" s="1"/>
  <c r="E1402" i="91"/>
  <c r="F1402" i="91" s="1"/>
  <c r="G1402" i="91" s="1"/>
  <c r="F1401" i="91"/>
  <c r="G1401" i="91" s="1"/>
  <c r="E1400" i="91"/>
  <c r="F1400" i="91" s="1"/>
  <c r="G1400" i="91" s="1"/>
  <c r="F1399" i="91"/>
  <c r="G1399" i="91" s="1"/>
  <c r="E1398" i="91"/>
  <c r="F1398" i="91" s="1"/>
  <c r="G1398" i="91" s="1"/>
  <c r="F1397" i="91"/>
  <c r="G1397" i="91" s="1"/>
  <c r="F1396" i="91"/>
  <c r="G1396" i="91" s="1"/>
  <c r="F1395" i="91"/>
  <c r="G1395" i="91" s="1"/>
  <c r="F1394" i="91"/>
  <c r="G1394" i="91" s="1"/>
  <c r="F1393" i="91"/>
  <c r="G1393" i="91" s="1"/>
  <c r="E1392" i="91"/>
  <c r="F1392" i="91" s="1"/>
  <c r="G1392" i="91" s="1"/>
  <c r="F1391" i="91"/>
  <c r="G1391" i="91" s="1"/>
  <c r="E1390" i="91"/>
  <c r="F1390" i="91" s="1"/>
  <c r="G1390" i="91" s="1"/>
  <c r="F1389" i="91"/>
  <c r="G1389" i="91" s="1"/>
  <c r="F1388" i="91"/>
  <c r="G1388" i="91" s="1"/>
  <c r="F1387" i="91"/>
  <c r="G1387" i="91" s="1"/>
  <c r="E1386" i="91"/>
  <c r="F1386" i="91" s="1"/>
  <c r="G1386" i="91" s="1"/>
  <c r="F1385" i="91"/>
  <c r="G1385" i="91" s="1"/>
  <c r="E1384" i="91"/>
  <c r="F1384" i="91" s="1"/>
  <c r="G1384" i="91" s="1"/>
  <c r="F1383" i="91"/>
  <c r="G1383" i="91" s="1"/>
  <c r="F1382" i="91"/>
  <c r="G1382" i="91" s="1"/>
  <c r="E1381" i="91"/>
  <c r="F1381" i="91" s="1"/>
  <c r="G1381" i="91" s="1"/>
  <c r="F1380" i="91"/>
  <c r="G1380" i="91" s="1"/>
  <c r="F1379" i="91"/>
  <c r="G1379" i="91" s="1"/>
  <c r="F1378" i="91"/>
  <c r="G1378" i="91" s="1"/>
  <c r="F1377" i="91"/>
  <c r="G1377" i="91" s="1"/>
  <c r="F1373" i="91"/>
  <c r="G1373" i="91" s="1"/>
  <c r="F1372" i="91"/>
  <c r="G1372" i="91" s="1"/>
  <c r="E1371" i="91"/>
  <c r="F1371" i="91" s="1"/>
  <c r="G1371" i="91" s="1"/>
  <c r="F1370" i="91"/>
  <c r="G1370" i="91" s="1"/>
  <c r="F1369" i="91"/>
  <c r="G1369" i="91" s="1"/>
  <c r="F1368" i="91"/>
  <c r="G1368" i="91" s="1"/>
  <c r="F1367" i="91"/>
  <c r="G1367" i="91" s="1"/>
  <c r="E1366" i="91"/>
  <c r="F1365" i="91"/>
  <c r="G1365" i="91" s="1"/>
  <c r="F1364" i="91"/>
  <c r="G1364" i="91" s="1"/>
  <c r="F1362" i="91"/>
  <c r="G1362" i="91" s="1"/>
  <c r="E1361" i="91"/>
  <c r="F1360" i="91"/>
  <c r="G1360" i="91" s="1"/>
  <c r="E1359" i="91"/>
  <c r="F1359" i="91" s="1"/>
  <c r="G1359" i="91" s="1"/>
  <c r="F1358" i="91"/>
  <c r="G1358" i="91" s="1"/>
  <c r="E1357" i="91"/>
  <c r="F1357" i="91" s="1"/>
  <c r="G1357" i="91" s="1"/>
  <c r="F1356" i="91"/>
  <c r="G1356" i="91" s="1"/>
  <c r="E1355" i="91"/>
  <c r="F1355" i="91" s="1"/>
  <c r="G1355" i="91" s="1"/>
  <c r="F1354" i="91"/>
  <c r="G1354" i="91" s="1"/>
  <c r="F1353" i="91"/>
  <c r="G1353" i="91" s="1"/>
  <c r="F1352" i="91"/>
  <c r="G1352" i="91" s="1"/>
  <c r="E1351" i="91"/>
  <c r="F1351" i="91" s="1"/>
  <c r="G1351" i="91" s="1"/>
  <c r="F1350" i="91"/>
  <c r="G1350" i="91" s="1"/>
  <c r="F1349" i="91"/>
  <c r="G1349" i="91" s="1"/>
  <c r="E1348" i="91"/>
  <c r="F1346" i="91"/>
  <c r="G1346" i="91" s="1"/>
  <c r="F1345" i="91"/>
  <c r="G1345" i="91" s="1"/>
  <c r="E1344" i="91"/>
  <c r="F1344" i="91" s="1"/>
  <c r="G1344" i="91" s="1"/>
  <c r="F1343" i="91"/>
  <c r="G1343" i="91" s="1"/>
  <c r="F1342" i="91"/>
  <c r="G1342" i="91" s="1"/>
  <c r="E1341" i="91"/>
  <c r="F1341" i="91" s="1"/>
  <c r="G1341" i="91" s="1"/>
  <c r="F1340" i="91"/>
  <c r="G1340" i="91" s="1"/>
  <c r="F1339" i="91"/>
  <c r="G1339" i="91" s="1"/>
  <c r="F1338" i="91"/>
  <c r="G1338" i="91" s="1"/>
  <c r="F1333" i="91"/>
  <c r="G1333" i="91" s="1"/>
  <c r="E1332" i="91"/>
  <c r="E1336" i="91" s="1"/>
  <c r="F1331" i="91"/>
  <c r="G1331" i="91" s="1"/>
  <c r="F1330" i="91"/>
  <c r="G1330" i="91" s="1"/>
  <c r="F1328" i="91"/>
  <c r="G1328" i="91" s="1"/>
  <c r="E1327" i="91"/>
  <c r="F1326" i="91"/>
  <c r="G1326" i="91" s="1"/>
  <c r="E1325" i="91"/>
  <c r="F1325" i="91" s="1"/>
  <c r="G1325" i="91" s="1"/>
  <c r="F1324" i="91"/>
  <c r="G1324" i="91" s="1"/>
  <c r="E1323" i="91"/>
  <c r="F1323" i="91" s="1"/>
  <c r="G1323" i="91" s="1"/>
  <c r="F1322" i="91"/>
  <c r="G1322" i="91" s="1"/>
  <c r="F1321" i="91"/>
  <c r="G1321" i="91" s="1"/>
  <c r="F1320" i="91"/>
  <c r="G1320" i="91" s="1"/>
  <c r="F1319" i="91"/>
  <c r="G1319" i="91" s="1"/>
  <c r="E1318" i="91"/>
  <c r="F1318" i="91" s="1"/>
  <c r="G1318" i="91" s="1"/>
  <c r="F1317" i="91"/>
  <c r="G1317" i="91" s="1"/>
  <c r="E1316" i="91"/>
  <c r="F1316" i="91" s="1"/>
  <c r="G1316" i="91" s="1"/>
  <c r="F1315" i="91"/>
  <c r="G1315" i="91" s="1"/>
  <c r="E1314" i="91"/>
  <c r="F1314" i="91" s="1"/>
  <c r="G1314" i="91" s="1"/>
  <c r="F1313" i="91"/>
  <c r="G1313" i="91" s="1"/>
  <c r="F1312" i="91"/>
  <c r="G1312" i="91" s="1"/>
  <c r="F1311" i="91"/>
  <c r="G1311" i="91" s="1"/>
  <c r="E1310" i="91"/>
  <c r="F1310" i="91" s="1"/>
  <c r="G1310" i="91" s="1"/>
  <c r="F1309" i="91"/>
  <c r="G1309" i="91" s="1"/>
  <c r="F1308" i="91"/>
  <c r="G1308" i="91" s="1"/>
  <c r="F1307" i="91"/>
  <c r="G1307" i="91" s="1"/>
  <c r="E1306" i="91"/>
  <c r="F1306" i="91" s="1"/>
  <c r="G1306" i="91" s="1"/>
  <c r="F1305" i="91"/>
  <c r="G1305" i="91" s="1"/>
  <c r="E1304" i="91"/>
  <c r="F1304" i="91" s="1"/>
  <c r="G1304" i="91" s="1"/>
  <c r="F1303" i="91"/>
  <c r="G1303" i="91" s="1"/>
  <c r="F1302" i="91"/>
  <c r="G1302" i="91" s="1"/>
  <c r="F1301" i="91"/>
  <c r="G1301" i="91" s="1"/>
  <c r="E1300" i="91"/>
  <c r="F1300" i="91" s="1"/>
  <c r="G1300" i="91" s="1"/>
  <c r="F1299" i="91"/>
  <c r="G1299" i="91" s="1"/>
  <c r="F1298" i="91"/>
  <c r="G1298" i="91" s="1"/>
  <c r="E1297" i="91"/>
  <c r="F1297" i="91" s="1"/>
  <c r="G1297" i="91" s="1"/>
  <c r="F1296" i="91"/>
  <c r="G1296" i="91" s="1"/>
  <c r="F1295" i="91"/>
  <c r="G1295" i="91" s="1"/>
  <c r="E1294" i="91"/>
  <c r="F1294" i="91" s="1"/>
  <c r="G1294" i="91" s="1"/>
  <c r="F1293" i="91"/>
  <c r="G1293" i="91" s="1"/>
  <c r="F1292" i="91"/>
  <c r="G1292" i="91" s="1"/>
  <c r="F1291" i="91"/>
  <c r="G1291" i="91" s="1"/>
  <c r="F1289" i="91"/>
  <c r="G1289" i="91" s="1"/>
  <c r="E1288" i="91"/>
  <c r="F1287" i="91"/>
  <c r="G1287" i="91" s="1"/>
  <c r="E1286" i="91"/>
  <c r="F1286" i="91" s="1"/>
  <c r="G1286" i="91" s="1"/>
  <c r="F1285" i="91"/>
  <c r="G1285" i="91" s="1"/>
  <c r="E1284" i="91"/>
  <c r="F1284" i="91" s="1"/>
  <c r="G1284" i="91" s="1"/>
  <c r="F1283" i="91"/>
  <c r="G1283" i="91" s="1"/>
  <c r="E1282" i="91"/>
  <c r="F1282" i="91" s="1"/>
  <c r="G1282" i="91" s="1"/>
  <c r="F1281" i="91"/>
  <c r="G1281" i="91" s="1"/>
  <c r="F1280" i="91"/>
  <c r="G1280" i="91" s="1"/>
  <c r="F1279" i="91"/>
  <c r="G1279" i="91" s="1"/>
  <c r="E1278" i="91"/>
  <c r="F1278" i="91" s="1"/>
  <c r="G1278" i="91" s="1"/>
  <c r="F1277" i="91"/>
  <c r="G1277" i="91" s="1"/>
  <c r="E1276" i="91"/>
  <c r="F1276" i="91" s="1"/>
  <c r="G1276" i="91" s="1"/>
  <c r="F1275" i="91"/>
  <c r="G1275" i="91" s="1"/>
  <c r="E1274" i="91"/>
  <c r="F1274" i="91" s="1"/>
  <c r="G1274" i="91" s="1"/>
  <c r="F1273" i="91"/>
  <c r="G1273" i="91" s="1"/>
  <c r="F1272" i="91"/>
  <c r="G1272" i="91" s="1"/>
  <c r="F1271" i="91"/>
  <c r="G1271" i="91" s="1"/>
  <c r="F1270" i="91"/>
  <c r="G1270" i="91" s="1"/>
  <c r="F1269" i="91"/>
  <c r="G1269" i="91" s="1"/>
  <c r="E1268" i="91"/>
  <c r="F1268" i="91" s="1"/>
  <c r="G1268" i="91" s="1"/>
  <c r="F1267" i="91"/>
  <c r="G1267" i="91" s="1"/>
  <c r="F1266" i="91"/>
  <c r="G1266" i="91" s="1"/>
  <c r="F1265" i="91"/>
  <c r="G1265" i="91" s="1"/>
  <c r="E1264" i="91"/>
  <c r="F1264" i="91" s="1"/>
  <c r="G1264" i="91" s="1"/>
  <c r="F1263" i="91"/>
  <c r="G1263" i="91" s="1"/>
  <c r="F1262" i="91"/>
  <c r="G1262" i="91" s="1"/>
  <c r="E1261" i="91"/>
  <c r="F1261" i="91" s="1"/>
  <c r="G1261" i="91" s="1"/>
  <c r="F1260" i="91"/>
  <c r="G1260" i="91" s="1"/>
  <c r="F1259" i="91"/>
  <c r="G1259" i="91" s="1"/>
  <c r="E1258" i="91"/>
  <c r="F1258" i="91" s="1"/>
  <c r="G1258" i="91" s="1"/>
  <c r="F1257" i="91"/>
  <c r="G1257" i="91" s="1"/>
  <c r="F1256" i="91"/>
  <c r="G1256" i="91" s="1"/>
  <c r="F1255" i="91"/>
  <c r="G1255" i="91" s="1"/>
  <c r="F1253" i="91"/>
  <c r="G1253" i="91" s="1"/>
  <c r="E1252" i="91"/>
  <c r="F1251" i="91"/>
  <c r="G1251" i="91" s="1"/>
  <c r="E1250" i="91"/>
  <c r="F1250" i="91" s="1"/>
  <c r="G1250" i="91" s="1"/>
  <c r="F1249" i="91"/>
  <c r="G1249" i="91" s="1"/>
  <c r="E1248" i="91"/>
  <c r="F1248" i="91" s="1"/>
  <c r="G1248" i="91" s="1"/>
  <c r="F1247" i="91"/>
  <c r="G1247" i="91" s="1"/>
  <c r="E1246" i="91"/>
  <c r="F1246" i="91" s="1"/>
  <c r="G1246" i="91" s="1"/>
  <c r="F1245" i="91"/>
  <c r="G1245" i="91" s="1"/>
  <c r="F1244" i="91"/>
  <c r="G1244" i="91" s="1"/>
  <c r="E1243" i="91"/>
  <c r="F1243" i="91" s="1"/>
  <c r="G1243" i="91" s="1"/>
  <c r="F1242" i="91"/>
  <c r="G1242" i="91" s="1"/>
  <c r="E1241" i="91"/>
  <c r="F1241" i="91" s="1"/>
  <c r="G1241" i="91" s="1"/>
  <c r="F1240" i="91"/>
  <c r="G1240" i="91" s="1"/>
  <c r="F1239" i="91"/>
  <c r="G1239" i="91" s="1"/>
  <c r="E1238" i="91"/>
  <c r="F1238" i="91" s="1"/>
  <c r="G1238" i="91" s="1"/>
  <c r="F1237" i="91"/>
  <c r="G1237" i="91" s="1"/>
  <c r="F1236" i="91"/>
  <c r="G1236" i="91" s="1"/>
  <c r="F1235" i="91"/>
  <c r="G1235" i="91" s="1"/>
  <c r="F1234" i="91"/>
  <c r="G1234" i="91" s="1"/>
  <c r="E1233" i="91"/>
  <c r="F1233" i="91" s="1"/>
  <c r="G1233" i="91" s="1"/>
  <c r="F1232" i="91"/>
  <c r="G1232" i="91" s="1"/>
  <c r="F1231" i="91"/>
  <c r="G1231" i="91" s="1"/>
  <c r="F1230" i="91"/>
  <c r="G1230" i="91" s="1"/>
  <c r="E1229" i="91"/>
  <c r="F1229" i="91" s="1"/>
  <c r="G1229" i="91" s="1"/>
  <c r="F1228" i="91"/>
  <c r="G1228" i="91" s="1"/>
  <c r="F1227" i="91"/>
  <c r="G1227" i="91" s="1"/>
  <c r="F1226" i="91"/>
  <c r="G1226" i="91" s="1"/>
  <c r="E1225" i="91"/>
  <c r="F1225" i="91" s="1"/>
  <c r="G1225" i="91" s="1"/>
  <c r="F1224" i="91"/>
  <c r="G1224" i="91" s="1"/>
  <c r="F1223" i="91"/>
  <c r="G1223" i="91" s="1"/>
  <c r="F1222" i="91"/>
  <c r="G1222" i="91" s="1"/>
  <c r="E1221" i="91"/>
  <c r="F1221" i="91" s="1"/>
  <c r="G1221" i="91" s="1"/>
  <c r="F1220" i="91"/>
  <c r="G1220" i="91" s="1"/>
  <c r="F1219" i="91"/>
  <c r="G1219" i="91" s="1"/>
  <c r="E1218" i="91"/>
  <c r="F1218" i="91" s="1"/>
  <c r="G1218" i="91" s="1"/>
  <c r="F1217" i="91"/>
  <c r="G1217" i="91" s="1"/>
  <c r="F1216" i="91"/>
  <c r="G1216" i="91" s="1"/>
  <c r="E1215" i="91"/>
  <c r="F1215" i="91" s="1"/>
  <c r="G1215" i="91" s="1"/>
  <c r="F1214" i="91"/>
  <c r="G1214" i="91" s="1"/>
  <c r="F1213" i="91"/>
  <c r="G1213" i="91" s="1"/>
  <c r="E1212" i="91"/>
  <c r="C431" i="3" s="1"/>
  <c r="F1211" i="91"/>
  <c r="G1211" i="91" s="1"/>
  <c r="F1210" i="91"/>
  <c r="G1210" i="91" s="1"/>
  <c r="F1199" i="91"/>
  <c r="G1199" i="91" s="1"/>
  <c r="F1198" i="91"/>
  <c r="G1198" i="91" s="1"/>
  <c r="G1197" i="91" s="1"/>
  <c r="E1197" i="91"/>
  <c r="E1196" i="91"/>
  <c r="F1196" i="91" s="1"/>
  <c r="E1195" i="91"/>
  <c r="F1195" i="91" s="1"/>
  <c r="G1195" i="91" s="1"/>
  <c r="E1194" i="91"/>
  <c r="F1194" i="91" s="1"/>
  <c r="G1194" i="91" s="1"/>
  <c r="F1192" i="91"/>
  <c r="G1192" i="91" s="1"/>
  <c r="F1191" i="91"/>
  <c r="G1191" i="91" s="1"/>
  <c r="F1189" i="91"/>
  <c r="G1189" i="91" s="1"/>
  <c r="E1188" i="91"/>
  <c r="F1188" i="91" s="1"/>
  <c r="G1188" i="91" s="1"/>
  <c r="F1187" i="91"/>
  <c r="F1185" i="91"/>
  <c r="G1185" i="91" s="1"/>
  <c r="G1184" i="91" s="1"/>
  <c r="E1184" i="91"/>
  <c r="E1183" i="91"/>
  <c r="F1183" i="91" s="1"/>
  <c r="G1183" i="91" s="1"/>
  <c r="E1182" i="91"/>
  <c r="F1182" i="91" s="1"/>
  <c r="G1182" i="91" s="1"/>
  <c r="E1181" i="91"/>
  <c r="F1181" i="91" s="1"/>
  <c r="E1179" i="91"/>
  <c r="E1178" i="91"/>
  <c r="F1178" i="91" s="1"/>
  <c r="G1178" i="91" s="1"/>
  <c r="E1176" i="91"/>
  <c r="F1176" i="91" s="1"/>
  <c r="F1174" i="91"/>
  <c r="G1174" i="91" s="1"/>
  <c r="E1173" i="91"/>
  <c r="E1172" i="91" s="1"/>
  <c r="F1171" i="91"/>
  <c r="E1170" i="91"/>
  <c r="F1170" i="91" s="1"/>
  <c r="G1170" i="91" s="1"/>
  <c r="E1169" i="91"/>
  <c r="F1169" i="91" s="1"/>
  <c r="G1169" i="91" s="1"/>
  <c r="F1167" i="91"/>
  <c r="G1167" i="91" s="1"/>
  <c r="G1166" i="91" s="1"/>
  <c r="E1166" i="91"/>
  <c r="E1165" i="91"/>
  <c r="F1165" i="91" s="1"/>
  <c r="G1165" i="91" s="1"/>
  <c r="E1164" i="91"/>
  <c r="F1164" i="91" s="1"/>
  <c r="G1164" i="91" s="1"/>
  <c r="F1163" i="91"/>
  <c r="G1163" i="91" s="1"/>
  <c r="E1161" i="91"/>
  <c r="F1161" i="91" s="1"/>
  <c r="G1161" i="91" s="1"/>
  <c r="E1160" i="91"/>
  <c r="F1160" i="91" s="1"/>
  <c r="G1160" i="91" s="1"/>
  <c r="E1159" i="91"/>
  <c r="F1159" i="91" s="1"/>
  <c r="G1159" i="91" s="1"/>
  <c r="F1158" i="91"/>
  <c r="G1158" i="91" s="1"/>
  <c r="E1157" i="91"/>
  <c r="F1157" i="91" s="1"/>
  <c r="G1157" i="91" s="1"/>
  <c r="E1156" i="91"/>
  <c r="F1156" i="91" s="1"/>
  <c r="G1156" i="91" s="1"/>
  <c r="E1155" i="91"/>
  <c r="F1155" i="91" s="1"/>
  <c r="G1155" i="91" s="1"/>
  <c r="E1153" i="91"/>
  <c r="F1153" i="91" s="1"/>
  <c r="G1153" i="91" s="1"/>
  <c r="E1152" i="91"/>
  <c r="F1152" i="91" s="1"/>
  <c r="G1152" i="91" s="1"/>
  <c r="E1151" i="91"/>
  <c r="F1151" i="91" s="1"/>
  <c r="G1151" i="91" s="1"/>
  <c r="E1149" i="91"/>
  <c r="E1145" i="91" s="1"/>
  <c r="F1148" i="91"/>
  <c r="G1148" i="91" s="1"/>
  <c r="F1147" i="91"/>
  <c r="G1147" i="91" s="1"/>
  <c r="F1146" i="91"/>
  <c r="F1144" i="91"/>
  <c r="G1144" i="91" s="1"/>
  <c r="E1143" i="91"/>
  <c r="F1143" i="91" s="1"/>
  <c r="F1141" i="91"/>
  <c r="F1140" i="91"/>
  <c r="G1140" i="91" s="1"/>
  <c r="F1139" i="91"/>
  <c r="G1139" i="91" s="1"/>
  <c r="E1138" i="91"/>
  <c r="F1137" i="91"/>
  <c r="F1136" i="91" s="1"/>
  <c r="E1136" i="91"/>
  <c r="C385" i="3" s="1"/>
  <c r="F1135" i="91"/>
  <c r="G1135" i="91" s="1"/>
  <c r="F1134" i="91"/>
  <c r="G1134" i="91" s="1"/>
  <c r="E1132" i="91"/>
  <c r="E1131" i="91" s="1"/>
  <c r="E1130" i="91"/>
  <c r="F1130" i="91" s="1"/>
  <c r="G1130" i="91" s="1"/>
  <c r="E1129" i="91"/>
  <c r="F1129" i="91" s="1"/>
  <c r="G1129" i="91" s="1"/>
  <c r="F1128" i="91"/>
  <c r="G1128" i="91" s="1"/>
  <c r="F1126" i="91"/>
  <c r="G1126" i="91" s="1"/>
  <c r="G1125" i="91" s="1"/>
  <c r="E1125" i="91"/>
  <c r="F1124" i="91"/>
  <c r="E1123" i="91"/>
  <c r="F1123" i="91" s="1"/>
  <c r="G1123" i="91" s="1"/>
  <c r="E1121" i="91"/>
  <c r="F1120" i="91"/>
  <c r="G1120" i="91" s="1"/>
  <c r="F1118" i="91"/>
  <c r="E1117" i="91"/>
  <c r="F1117" i="91" s="1"/>
  <c r="G1117" i="91" s="1"/>
  <c r="E1115" i="91"/>
  <c r="F1115" i="91" s="1"/>
  <c r="E1114" i="91"/>
  <c r="F1114" i="91" s="1"/>
  <c r="G1114" i="91" s="1"/>
  <c r="F1112" i="91"/>
  <c r="G1112" i="91" s="1"/>
  <c r="F1111" i="91"/>
  <c r="G1111" i="91" s="1"/>
  <c r="E1110" i="91"/>
  <c r="F1110" i="91" s="1"/>
  <c r="G1110" i="91" s="1"/>
  <c r="E1108" i="91"/>
  <c r="F1108" i="91" s="1"/>
  <c r="F1106" i="91"/>
  <c r="G1106" i="91" s="1"/>
  <c r="E1105" i="91"/>
  <c r="F1105" i="91" s="1"/>
  <c r="G1105" i="91" s="1"/>
  <c r="E1104" i="91"/>
  <c r="F1102" i="91"/>
  <c r="G1102" i="91" s="1"/>
  <c r="E1101" i="91"/>
  <c r="F1101" i="91" s="1"/>
  <c r="G1101" i="91" s="1"/>
  <c r="E1100" i="91"/>
  <c r="F1100" i="91" s="1"/>
  <c r="G1100" i="91" s="1"/>
  <c r="E1099" i="91"/>
  <c r="E1098" i="91"/>
  <c r="F1098" i="91" s="1"/>
  <c r="G1098" i="91" s="1"/>
  <c r="E1097" i="91"/>
  <c r="F1097" i="91" s="1"/>
  <c r="G1097" i="91" s="1"/>
  <c r="F1096" i="91"/>
  <c r="G1096" i="91" s="1"/>
  <c r="E1094" i="91"/>
  <c r="F1094" i="91" s="1"/>
  <c r="G1094" i="91" s="1"/>
  <c r="E1093" i="91"/>
  <c r="F1093" i="91" s="1"/>
  <c r="G1093" i="91" s="1"/>
  <c r="E1092" i="91"/>
  <c r="F1092" i="91" s="1"/>
  <c r="E1090" i="91"/>
  <c r="E1089" i="91"/>
  <c r="F1089" i="91" s="1"/>
  <c r="G1089" i="91" s="1"/>
  <c r="E1088" i="91"/>
  <c r="F1088" i="91" s="1"/>
  <c r="G1088" i="91" s="1"/>
  <c r="E1087" i="91"/>
  <c r="F1087" i="91" s="1"/>
  <c r="F1085" i="91"/>
  <c r="G1085" i="91" s="1"/>
  <c r="F1084" i="91"/>
  <c r="E1083" i="91"/>
  <c r="F1082" i="91"/>
  <c r="G1082" i="91" s="1"/>
  <c r="F1081" i="91"/>
  <c r="G1081" i="91" s="1"/>
  <c r="F1080" i="91"/>
  <c r="E1079" i="91"/>
  <c r="F1078" i="91"/>
  <c r="E1077" i="91"/>
  <c r="C372" i="3" s="1"/>
  <c r="F1076" i="91"/>
  <c r="G1076" i="91" s="1"/>
  <c r="F1075" i="91"/>
  <c r="G1075" i="91" s="1"/>
  <c r="F1074" i="91"/>
  <c r="G1074" i="91" s="1"/>
  <c r="F1067" i="91"/>
  <c r="G1067" i="91" s="1"/>
  <c r="E1066" i="91"/>
  <c r="E1068" i="91" s="1"/>
  <c r="F1065" i="91"/>
  <c r="G1065" i="91" s="1"/>
  <c r="F1064" i="91"/>
  <c r="F1063" i="91"/>
  <c r="G1063" i="91" s="1"/>
  <c r="F1062" i="91"/>
  <c r="G1062" i="91" s="1"/>
  <c r="F1061" i="91"/>
  <c r="G1061" i="91" s="1"/>
  <c r="F1059" i="91"/>
  <c r="G1059" i="91" s="1"/>
  <c r="F1057" i="91"/>
  <c r="G1057" i="91" s="1"/>
  <c r="F1056" i="91"/>
  <c r="G1056" i="91" s="1"/>
  <c r="F1055" i="91"/>
  <c r="E1054" i="91"/>
  <c r="C361" i="3" s="1"/>
  <c r="D361" i="3" s="1"/>
  <c r="E361" i="3" s="1"/>
  <c r="F1053" i="91"/>
  <c r="G1053" i="91" s="1"/>
  <c r="F1052" i="91"/>
  <c r="E1051" i="91"/>
  <c r="F1050" i="91"/>
  <c r="E1049" i="91"/>
  <c r="F1048" i="91"/>
  <c r="G1048" i="91" s="1"/>
  <c r="F1047" i="91"/>
  <c r="G1047" i="91" s="1"/>
  <c r="E1046" i="91"/>
  <c r="F1045" i="91"/>
  <c r="G1045" i="91" s="1"/>
  <c r="F1044" i="91"/>
  <c r="G1044" i="91" s="1"/>
  <c r="E1043" i="91"/>
  <c r="F1042" i="91"/>
  <c r="G1042" i="91" s="1"/>
  <c r="F1041" i="91"/>
  <c r="E1040" i="91"/>
  <c r="F1039" i="91"/>
  <c r="G1039" i="91" s="1"/>
  <c r="F1038" i="91"/>
  <c r="G1038" i="91" s="1"/>
  <c r="F1037" i="91"/>
  <c r="G1037" i="91" s="1"/>
  <c r="F1036" i="91"/>
  <c r="G1036" i="91" s="1"/>
  <c r="F1035" i="91"/>
  <c r="G1035" i="91" s="1"/>
  <c r="F1034" i="91"/>
  <c r="G1034" i="91" s="1"/>
  <c r="F1033" i="91"/>
  <c r="G1033" i="91" s="1"/>
  <c r="E1032" i="91"/>
  <c r="F1031" i="91"/>
  <c r="E1030" i="91"/>
  <c r="F1029" i="91"/>
  <c r="G1029" i="91" s="1"/>
  <c r="F1028" i="91"/>
  <c r="G1028" i="91" s="1"/>
  <c r="F1027" i="91"/>
  <c r="E1026" i="91"/>
  <c r="F1025" i="91"/>
  <c r="G1025" i="91" s="1"/>
  <c r="F1024" i="91"/>
  <c r="G1024" i="91" s="1"/>
  <c r="E1023" i="91"/>
  <c r="G1022" i="91"/>
  <c r="G1021" i="91"/>
  <c r="F1020" i="91"/>
  <c r="E1020" i="91"/>
  <c r="F1019" i="91"/>
  <c r="F1018" i="91" s="1"/>
  <c r="E1018" i="91"/>
  <c r="C359" i="3" s="1"/>
  <c r="F1017" i="91"/>
  <c r="G1017" i="91" s="1"/>
  <c r="F1016" i="91"/>
  <c r="G1016" i="91" s="1"/>
  <c r="E1014" i="91"/>
  <c r="C350" i="3" s="1"/>
  <c r="F1013" i="91"/>
  <c r="G1013" i="91" s="1"/>
  <c r="F1012" i="91"/>
  <c r="G1012" i="91" s="1"/>
  <c r="F1011" i="91"/>
  <c r="G1011" i="91" s="1"/>
  <c r="F1009" i="91"/>
  <c r="G1009" i="91" s="1"/>
  <c r="F1007" i="91"/>
  <c r="G1007" i="91" s="1"/>
  <c r="F1006" i="91"/>
  <c r="G1006" i="91" s="1"/>
  <c r="F1005" i="91"/>
  <c r="G1005" i="91" s="1"/>
  <c r="E1004" i="91"/>
  <c r="C348" i="3" s="1"/>
  <c r="D348" i="3" s="1"/>
  <c r="E348" i="3" s="1"/>
  <c r="F1003" i="91"/>
  <c r="G1003" i="91" s="1"/>
  <c r="F1002" i="91"/>
  <c r="E1001" i="91"/>
  <c r="F1000" i="91"/>
  <c r="E999" i="91"/>
  <c r="F998" i="91"/>
  <c r="G998" i="91" s="1"/>
  <c r="F997" i="91"/>
  <c r="G997" i="91" s="1"/>
  <c r="E996" i="91"/>
  <c r="F995" i="91"/>
  <c r="G995" i="91" s="1"/>
  <c r="F994" i="91"/>
  <c r="E993" i="91"/>
  <c r="F992" i="91"/>
  <c r="F991" i="91"/>
  <c r="G991" i="91" s="1"/>
  <c r="F990" i="91"/>
  <c r="G990" i="91" s="1"/>
  <c r="F989" i="91"/>
  <c r="G989" i="91" s="1"/>
  <c r="E988" i="91"/>
  <c r="F987" i="91"/>
  <c r="G987" i="91" s="1"/>
  <c r="F986" i="91"/>
  <c r="G986" i="91" s="1"/>
  <c r="F985" i="91"/>
  <c r="G985" i="91" s="1"/>
  <c r="F984" i="91"/>
  <c r="F983" i="91"/>
  <c r="G983" i="91" s="1"/>
  <c r="F982" i="91"/>
  <c r="G982" i="91" s="1"/>
  <c r="F981" i="91"/>
  <c r="G981" i="91" s="1"/>
  <c r="E980" i="91"/>
  <c r="F979" i="91"/>
  <c r="G979" i="91" s="1"/>
  <c r="F978" i="91"/>
  <c r="G978" i="91" s="1"/>
  <c r="F977" i="91"/>
  <c r="G977" i="91" s="1"/>
  <c r="F976" i="91"/>
  <c r="E975" i="91"/>
  <c r="F974" i="91"/>
  <c r="G974" i="91" s="1"/>
  <c r="F973" i="91"/>
  <c r="G973" i="91" s="1"/>
  <c r="F972" i="91"/>
  <c r="E971" i="91"/>
  <c r="G970" i="91"/>
  <c r="G969" i="91"/>
  <c r="F968" i="91"/>
  <c r="E968" i="91"/>
  <c r="F967" i="91"/>
  <c r="F966" i="91" s="1"/>
  <c r="E966" i="91"/>
  <c r="C346" i="3" s="1"/>
  <c r="F965" i="91"/>
  <c r="G965" i="91" s="1"/>
  <c r="F964" i="91"/>
  <c r="G964" i="91" s="1"/>
  <c r="F963" i="91"/>
  <c r="G963" i="91" s="1"/>
  <c r="E961" i="91"/>
  <c r="C337" i="3" s="1"/>
  <c r="F960" i="91"/>
  <c r="G960" i="91" s="1"/>
  <c r="F959" i="91"/>
  <c r="G959" i="91" s="1"/>
  <c r="F958" i="91"/>
  <c r="G958" i="91" s="1"/>
  <c r="F957" i="91"/>
  <c r="G957" i="91" s="1"/>
  <c r="F954" i="91"/>
  <c r="G954" i="91" s="1"/>
  <c r="F952" i="91"/>
  <c r="G952" i="91" s="1"/>
  <c r="F951" i="91"/>
  <c r="G951" i="91" s="1"/>
  <c r="F950" i="91"/>
  <c r="G950" i="91" s="1"/>
  <c r="E949" i="91"/>
  <c r="C335" i="3" s="1"/>
  <c r="D335" i="3" s="1"/>
  <c r="E335" i="3" s="1"/>
  <c r="F948" i="91"/>
  <c r="G948" i="91" s="1"/>
  <c r="F947" i="91"/>
  <c r="E946" i="91"/>
  <c r="F945" i="91"/>
  <c r="F944" i="91" s="1"/>
  <c r="E944" i="91"/>
  <c r="F943" i="91"/>
  <c r="G943" i="91" s="1"/>
  <c r="F942" i="91"/>
  <c r="E941" i="91"/>
  <c r="F940" i="91"/>
  <c r="G940" i="91" s="1"/>
  <c r="F939" i="91"/>
  <c r="E938" i="91"/>
  <c r="F937" i="91"/>
  <c r="G937" i="91" s="1"/>
  <c r="F936" i="91"/>
  <c r="E935" i="91"/>
  <c r="F934" i="91"/>
  <c r="G934" i="91" s="1"/>
  <c r="G933" i="91" s="1"/>
  <c r="E933" i="91"/>
  <c r="F932" i="91"/>
  <c r="G932" i="91" s="1"/>
  <c r="F931" i="91"/>
  <c r="G931" i="91" s="1"/>
  <c r="F930" i="91"/>
  <c r="E929" i="91"/>
  <c r="F928" i="91"/>
  <c r="F927" i="91"/>
  <c r="G927" i="91" s="1"/>
  <c r="F926" i="91"/>
  <c r="G926" i="91" s="1"/>
  <c r="F925" i="91"/>
  <c r="G925" i="91" s="1"/>
  <c r="F924" i="91"/>
  <c r="G924" i="91" s="1"/>
  <c r="F923" i="91"/>
  <c r="G923" i="91" s="1"/>
  <c r="F922" i="91"/>
  <c r="G922" i="91" s="1"/>
  <c r="F921" i="91"/>
  <c r="G921" i="91" s="1"/>
  <c r="E920" i="91"/>
  <c r="F919" i="91"/>
  <c r="E918" i="91"/>
  <c r="F917" i="91"/>
  <c r="F916" i="91"/>
  <c r="G916" i="91" s="1"/>
  <c r="F915" i="91"/>
  <c r="G915" i="91" s="1"/>
  <c r="F914" i="91"/>
  <c r="G914" i="91" s="1"/>
  <c r="E913" i="91"/>
  <c r="F912" i="91"/>
  <c r="G912" i="91" s="1"/>
  <c r="F911" i="91"/>
  <c r="E910" i="91"/>
  <c r="G909" i="91"/>
  <c r="G908" i="91"/>
  <c r="F907" i="91"/>
  <c r="E907" i="91"/>
  <c r="F906" i="91"/>
  <c r="F905" i="91" s="1"/>
  <c r="E905" i="91"/>
  <c r="C333" i="3" s="1"/>
  <c r="F904" i="91"/>
  <c r="G904" i="91" s="1"/>
  <c r="F903" i="91"/>
  <c r="G903" i="91" s="1"/>
  <c r="F902" i="91"/>
  <c r="G902" i="91" s="1"/>
  <c r="F899" i="91"/>
  <c r="G899" i="91" s="1"/>
  <c r="E898" i="91"/>
  <c r="E896" i="91" s="1"/>
  <c r="C322" i="3" s="1"/>
  <c r="F897" i="91"/>
  <c r="G897" i="91" s="1"/>
  <c r="F895" i="91"/>
  <c r="G895" i="91" s="1"/>
  <c r="E894" i="91"/>
  <c r="F894" i="91" s="1"/>
  <c r="G894" i="91" s="1"/>
  <c r="F893" i="91"/>
  <c r="F891" i="91"/>
  <c r="G891" i="91" s="1"/>
  <c r="E890" i="91"/>
  <c r="E889" i="91" s="1"/>
  <c r="E888" i="91"/>
  <c r="E887" i="91" s="1"/>
  <c r="E886" i="91"/>
  <c r="F886" i="91" s="1"/>
  <c r="G886" i="91" s="1"/>
  <c r="E885" i="91"/>
  <c r="E883" i="91"/>
  <c r="F883" i="91" s="1"/>
  <c r="G883" i="91" s="1"/>
  <c r="E882" i="91"/>
  <c r="F882" i="91" s="1"/>
  <c r="E881" i="91"/>
  <c r="F879" i="91"/>
  <c r="G879" i="91" s="1"/>
  <c r="E878" i="91"/>
  <c r="F878" i="91" s="1"/>
  <c r="G878" i="91" s="1"/>
  <c r="E877" i="91"/>
  <c r="F877" i="91" s="1"/>
  <c r="G877" i="91" s="1"/>
  <c r="F876" i="91"/>
  <c r="E875" i="91"/>
  <c r="F873" i="91"/>
  <c r="E872" i="91"/>
  <c r="E866" i="91" s="1"/>
  <c r="F871" i="91"/>
  <c r="G871" i="91" s="1"/>
  <c r="F870" i="91"/>
  <c r="G870" i="91" s="1"/>
  <c r="F869" i="91"/>
  <c r="G869" i="91" s="1"/>
  <c r="F868" i="91"/>
  <c r="G868" i="91" s="1"/>
  <c r="F867" i="91"/>
  <c r="G867" i="91" s="1"/>
  <c r="E865" i="91"/>
  <c r="F865" i="91" s="1"/>
  <c r="G865" i="91" s="1"/>
  <c r="F864" i="91"/>
  <c r="G864" i="91" s="1"/>
  <c r="F863" i="91"/>
  <c r="G863" i="91" s="1"/>
  <c r="F862" i="91"/>
  <c r="F860" i="91"/>
  <c r="F859" i="91"/>
  <c r="G859" i="91" s="1"/>
  <c r="E858" i="91"/>
  <c r="E857" i="91" s="1"/>
  <c r="F856" i="91"/>
  <c r="G856" i="91" s="1"/>
  <c r="F855" i="91"/>
  <c r="G855" i="91" s="1"/>
  <c r="E854" i="91"/>
  <c r="F854" i="91" s="1"/>
  <c r="G854" i="91" s="1"/>
  <c r="F853" i="91"/>
  <c r="F851" i="91"/>
  <c r="G851" i="91" s="1"/>
  <c r="F850" i="91"/>
  <c r="E849" i="91"/>
  <c r="F848" i="91"/>
  <c r="G848" i="91" s="1"/>
  <c r="F847" i="91"/>
  <c r="G847" i="91" s="1"/>
  <c r="F846" i="91"/>
  <c r="G846" i="91" s="1"/>
  <c r="E845" i="91"/>
  <c r="E844" i="91"/>
  <c r="E843" i="91" s="1"/>
  <c r="C320" i="3" s="1"/>
  <c r="F842" i="91"/>
  <c r="G842" i="91" s="1"/>
  <c r="F841" i="91"/>
  <c r="G841" i="91" s="1"/>
  <c r="E832" i="91"/>
  <c r="F832" i="91" s="1"/>
  <c r="G832" i="91" s="1"/>
  <c r="F827" i="91"/>
  <c r="G827" i="91" s="1"/>
  <c r="E826" i="91"/>
  <c r="F826" i="91" s="1"/>
  <c r="G826" i="91" s="1"/>
  <c r="F825" i="91"/>
  <c r="G825" i="91" s="1"/>
  <c r="F824" i="91"/>
  <c r="G824" i="91" s="1"/>
  <c r="E823" i="91"/>
  <c r="F823" i="91" s="1"/>
  <c r="G823" i="91" s="1"/>
  <c r="F822" i="91"/>
  <c r="G822" i="91" s="1"/>
  <c r="F821" i="91"/>
  <c r="G821" i="91" s="1"/>
  <c r="E820" i="91"/>
  <c r="F820" i="91" s="1"/>
  <c r="G820" i="91" s="1"/>
  <c r="F819" i="91"/>
  <c r="G819" i="91" s="1"/>
  <c r="E818" i="91"/>
  <c r="F818" i="91" s="1"/>
  <c r="G818" i="91" s="1"/>
  <c r="F817" i="91"/>
  <c r="G817" i="91" s="1"/>
  <c r="F816" i="91"/>
  <c r="G816" i="91" s="1"/>
  <c r="F815" i="91"/>
  <c r="G815" i="91" s="1"/>
  <c r="E814" i="91"/>
  <c r="F814" i="91" s="1"/>
  <c r="G814" i="91" s="1"/>
  <c r="F813" i="91"/>
  <c r="G813" i="91" s="1"/>
  <c r="F812" i="91"/>
  <c r="G812" i="91" s="1"/>
  <c r="F811" i="91"/>
  <c r="G811" i="91" s="1"/>
  <c r="F810" i="91"/>
  <c r="G810" i="91" s="1"/>
  <c r="E809" i="91"/>
  <c r="F809" i="91" s="1"/>
  <c r="G809" i="91" s="1"/>
  <c r="F808" i="91"/>
  <c r="G808" i="91" s="1"/>
  <c r="F807" i="91"/>
  <c r="G807" i="91" s="1"/>
  <c r="F806" i="91"/>
  <c r="G806" i="91" s="1"/>
  <c r="F805" i="91"/>
  <c r="G805" i="91" s="1"/>
  <c r="F804" i="91"/>
  <c r="G804" i="91" s="1"/>
  <c r="F803" i="91"/>
  <c r="G803" i="91" s="1"/>
  <c r="E802" i="91"/>
  <c r="F802" i="91" s="1"/>
  <c r="G802" i="91" s="1"/>
  <c r="F801" i="91"/>
  <c r="G801" i="91" s="1"/>
  <c r="F800" i="91"/>
  <c r="G800" i="91" s="1"/>
  <c r="F799" i="91"/>
  <c r="G799" i="91" s="1"/>
  <c r="E798" i="91"/>
  <c r="F798" i="91" s="1"/>
  <c r="G798" i="91" s="1"/>
  <c r="F797" i="91"/>
  <c r="G797" i="91" s="1"/>
  <c r="F796" i="91"/>
  <c r="G796" i="91" s="1"/>
  <c r="F795" i="91"/>
  <c r="G795" i="91" s="1"/>
  <c r="F794" i="91"/>
  <c r="G794" i="91" s="1"/>
  <c r="E793" i="91"/>
  <c r="F793" i="91" s="1"/>
  <c r="G793" i="91" s="1"/>
  <c r="F792" i="91"/>
  <c r="G792" i="91" s="1"/>
  <c r="F791" i="91"/>
  <c r="G791" i="91" s="1"/>
  <c r="E790" i="91"/>
  <c r="F790" i="91" s="1"/>
  <c r="G790" i="91" s="1"/>
  <c r="F789" i="91"/>
  <c r="G789" i="91" s="1"/>
  <c r="F788" i="91"/>
  <c r="G788" i="91" s="1"/>
  <c r="E787" i="91"/>
  <c r="F786" i="91"/>
  <c r="G786" i="91" s="1"/>
  <c r="F785" i="91"/>
  <c r="G785" i="91" s="1"/>
  <c r="F784" i="91"/>
  <c r="G784" i="91" s="1"/>
  <c r="F781" i="91"/>
  <c r="G781" i="91" s="1"/>
  <c r="F780" i="91"/>
  <c r="G780" i="91" s="1"/>
  <c r="E779" i="91"/>
  <c r="E782" i="91" s="1"/>
  <c r="F778" i="91"/>
  <c r="G778" i="91" s="1"/>
  <c r="F777" i="91"/>
  <c r="G777" i="91" s="1"/>
  <c r="F775" i="91"/>
  <c r="G775" i="91" s="1"/>
  <c r="E774" i="91"/>
  <c r="F774" i="91" s="1"/>
  <c r="G774" i="91" s="1"/>
  <c r="F773" i="91"/>
  <c r="G773" i="91" s="1"/>
  <c r="F772" i="91"/>
  <c r="G772" i="91" s="1"/>
  <c r="E771" i="91"/>
  <c r="F771" i="91" s="1"/>
  <c r="G771" i="91" s="1"/>
  <c r="F768" i="91"/>
  <c r="G768" i="91" s="1"/>
  <c r="F767" i="91"/>
  <c r="G767" i="91" s="1"/>
  <c r="E766" i="91"/>
  <c r="F765" i="91"/>
  <c r="G765" i="91" s="1"/>
  <c r="F764" i="91"/>
  <c r="G764" i="91" s="1"/>
  <c r="E763" i="91"/>
  <c r="F763" i="91" s="1"/>
  <c r="G763" i="91" s="1"/>
  <c r="F762" i="91"/>
  <c r="G762" i="91" s="1"/>
  <c r="E761" i="91"/>
  <c r="F761" i="91" s="1"/>
  <c r="G761" i="91" s="1"/>
  <c r="F760" i="91"/>
  <c r="G760" i="91" s="1"/>
  <c r="E759" i="91"/>
  <c r="F759" i="91" s="1"/>
  <c r="G759" i="91" s="1"/>
  <c r="F758" i="91"/>
  <c r="G758" i="91" s="1"/>
  <c r="F757" i="91"/>
  <c r="G757" i="91" s="1"/>
  <c r="F756" i="91"/>
  <c r="G756" i="91" s="1"/>
  <c r="E755" i="91"/>
  <c r="F755" i="91" s="1"/>
  <c r="G755" i="91" s="1"/>
  <c r="F754" i="91"/>
  <c r="G754" i="91" s="1"/>
  <c r="F753" i="91"/>
  <c r="G753" i="91" s="1"/>
  <c r="E752" i="91"/>
  <c r="F752" i="91" s="1"/>
  <c r="G752" i="91" s="1"/>
  <c r="F751" i="91"/>
  <c r="G751" i="91" s="1"/>
  <c r="F750" i="91"/>
  <c r="G750" i="91" s="1"/>
  <c r="E749" i="91"/>
  <c r="F749" i="91" s="1"/>
  <c r="G749" i="91" s="1"/>
  <c r="F748" i="91"/>
  <c r="G748" i="91" s="1"/>
  <c r="F747" i="91"/>
  <c r="G747" i="91" s="1"/>
  <c r="F746" i="91"/>
  <c r="G746" i="91" s="1"/>
  <c r="F745" i="91"/>
  <c r="G745" i="91" s="1"/>
  <c r="E744" i="91"/>
  <c r="F744" i="91" s="1"/>
  <c r="G744" i="91" s="1"/>
  <c r="F743" i="91"/>
  <c r="G743" i="91" s="1"/>
  <c r="F742" i="91"/>
  <c r="G742" i="91" s="1"/>
  <c r="F741" i="91"/>
  <c r="G741" i="91" s="1"/>
  <c r="F740" i="91"/>
  <c r="G740" i="91" s="1"/>
  <c r="F739" i="91"/>
  <c r="G739" i="91" s="1"/>
  <c r="F738" i="91"/>
  <c r="G738" i="91" s="1"/>
  <c r="E737" i="91"/>
  <c r="F737" i="91" s="1"/>
  <c r="G737" i="91" s="1"/>
  <c r="F736" i="91"/>
  <c r="G736" i="91" s="1"/>
  <c r="E735" i="91"/>
  <c r="F735" i="91" s="1"/>
  <c r="G735" i="91" s="1"/>
  <c r="F734" i="91"/>
  <c r="G734" i="91" s="1"/>
  <c r="F733" i="91"/>
  <c r="G733" i="91" s="1"/>
  <c r="F732" i="91"/>
  <c r="G732" i="91" s="1"/>
  <c r="F731" i="91"/>
  <c r="G731" i="91" s="1"/>
  <c r="E730" i="91"/>
  <c r="F730" i="91" s="1"/>
  <c r="G730" i="91" s="1"/>
  <c r="F729" i="91"/>
  <c r="G729" i="91" s="1"/>
  <c r="F728" i="91"/>
  <c r="G728" i="91" s="1"/>
  <c r="F727" i="91"/>
  <c r="G727" i="91" s="1"/>
  <c r="F726" i="91"/>
  <c r="G726" i="91" s="1"/>
  <c r="E725" i="91"/>
  <c r="F725" i="91" s="1"/>
  <c r="G725" i="91" s="1"/>
  <c r="F724" i="91"/>
  <c r="G724" i="91" s="1"/>
  <c r="F723" i="91"/>
  <c r="G723" i="91" s="1"/>
  <c r="F722" i="91"/>
  <c r="G722" i="91" s="1"/>
  <c r="E721" i="91"/>
  <c r="F721" i="91" s="1"/>
  <c r="G721" i="91" s="1"/>
  <c r="F720" i="91"/>
  <c r="G720" i="91" s="1"/>
  <c r="F719" i="91"/>
  <c r="G719" i="91" s="1"/>
  <c r="E718" i="91"/>
  <c r="F718" i="91" s="1"/>
  <c r="G718" i="91" s="1"/>
  <c r="F717" i="91"/>
  <c r="G717" i="91" s="1"/>
  <c r="E716" i="91"/>
  <c r="F715" i="91"/>
  <c r="G715" i="91" s="1"/>
  <c r="F714" i="91"/>
  <c r="G714" i="91" s="1"/>
  <c r="F713" i="91"/>
  <c r="G713" i="91" s="1"/>
  <c r="F712" i="91"/>
  <c r="G712" i="91" s="1"/>
  <c r="F709" i="91"/>
  <c r="G709" i="91" s="1"/>
  <c r="F708" i="91"/>
  <c r="G708" i="91" s="1"/>
  <c r="E707" i="91"/>
  <c r="F706" i="91"/>
  <c r="G706" i="91" s="1"/>
  <c r="E705" i="91"/>
  <c r="F705" i="91" s="1"/>
  <c r="G705" i="91" s="1"/>
  <c r="F704" i="91"/>
  <c r="G704" i="91" s="1"/>
  <c r="F703" i="91"/>
  <c r="G703" i="91" s="1"/>
  <c r="E702" i="91"/>
  <c r="F702" i="91" s="1"/>
  <c r="G702" i="91" s="1"/>
  <c r="F701" i="91"/>
  <c r="G701" i="91" s="1"/>
  <c r="F700" i="91"/>
  <c r="G700" i="91" s="1"/>
  <c r="E699" i="91"/>
  <c r="F699" i="91" s="1"/>
  <c r="G699" i="91" s="1"/>
  <c r="F698" i="91"/>
  <c r="G698" i="91" s="1"/>
  <c r="E697" i="91"/>
  <c r="F697" i="91" s="1"/>
  <c r="G697" i="91" s="1"/>
  <c r="F696" i="91"/>
  <c r="G696" i="91" s="1"/>
  <c r="F695" i="91"/>
  <c r="G695" i="91" s="1"/>
  <c r="F694" i="91"/>
  <c r="G694" i="91" s="1"/>
  <c r="F693" i="91"/>
  <c r="G693" i="91" s="1"/>
  <c r="E692" i="91"/>
  <c r="F692" i="91" s="1"/>
  <c r="G692" i="91" s="1"/>
  <c r="F691" i="91"/>
  <c r="G691" i="91" s="1"/>
  <c r="F690" i="91"/>
  <c r="G690" i="91" s="1"/>
  <c r="E689" i="91"/>
  <c r="F689" i="91" s="1"/>
  <c r="G689" i="91" s="1"/>
  <c r="F688" i="91"/>
  <c r="G688" i="91" s="1"/>
  <c r="F687" i="91"/>
  <c r="G687" i="91" s="1"/>
  <c r="F686" i="91"/>
  <c r="G686" i="91" s="1"/>
  <c r="F685" i="91"/>
  <c r="G685" i="91" s="1"/>
  <c r="F684" i="91"/>
  <c r="G684" i="91" s="1"/>
  <c r="F683" i="91"/>
  <c r="G683" i="91" s="1"/>
  <c r="E682" i="91"/>
  <c r="F682" i="91" s="1"/>
  <c r="G682" i="91" s="1"/>
  <c r="F681" i="91"/>
  <c r="G681" i="91" s="1"/>
  <c r="E680" i="91"/>
  <c r="F679" i="91"/>
  <c r="G679" i="91" s="1"/>
  <c r="F678" i="91"/>
  <c r="G678" i="91" s="1"/>
  <c r="F676" i="91"/>
  <c r="G676" i="91" s="1"/>
  <c r="F675" i="91"/>
  <c r="G675" i="91" s="1"/>
  <c r="F674" i="91"/>
  <c r="G674" i="91" s="1"/>
  <c r="E673" i="91"/>
  <c r="F673" i="91" s="1"/>
  <c r="G673" i="91" s="1"/>
  <c r="F672" i="91"/>
  <c r="G672" i="91" s="1"/>
  <c r="F671" i="91"/>
  <c r="G671" i="91" s="1"/>
  <c r="F670" i="91"/>
  <c r="G670" i="91" s="1"/>
  <c r="F669" i="91"/>
  <c r="G669" i="91" s="1"/>
  <c r="E668" i="91"/>
  <c r="F668" i="91" s="1"/>
  <c r="G668" i="91" s="1"/>
  <c r="F667" i="91"/>
  <c r="G667" i="91" s="1"/>
  <c r="F666" i="91"/>
  <c r="G666" i="91" s="1"/>
  <c r="F665" i="91"/>
  <c r="G665" i="91" s="1"/>
  <c r="E664" i="91"/>
  <c r="F664" i="91" s="1"/>
  <c r="G664" i="91" s="1"/>
  <c r="F663" i="91"/>
  <c r="G663" i="91" s="1"/>
  <c r="F662" i="91"/>
  <c r="G662" i="91" s="1"/>
  <c r="E661" i="91"/>
  <c r="F661" i="91" s="1"/>
  <c r="G661" i="91" s="1"/>
  <c r="F660" i="91"/>
  <c r="G660" i="91" s="1"/>
  <c r="F659" i="91"/>
  <c r="G659" i="91" s="1"/>
  <c r="F657" i="91"/>
  <c r="G657" i="91" s="1"/>
  <c r="F656" i="91"/>
  <c r="G656" i="91" s="1"/>
  <c r="E655" i="91"/>
  <c r="F654" i="91"/>
  <c r="G654" i="91" s="1"/>
  <c r="E653" i="91"/>
  <c r="F653" i="91" s="1"/>
  <c r="G653" i="91" s="1"/>
  <c r="F652" i="91"/>
  <c r="G652" i="91" s="1"/>
  <c r="F651" i="91"/>
  <c r="G651" i="91" s="1"/>
  <c r="E650" i="91"/>
  <c r="F650" i="91" s="1"/>
  <c r="G650" i="91" s="1"/>
  <c r="F649" i="91"/>
  <c r="G649" i="91" s="1"/>
  <c r="F648" i="91"/>
  <c r="G648" i="91" s="1"/>
  <c r="F647" i="91"/>
  <c r="G647" i="91" s="1"/>
  <c r="F646" i="91"/>
  <c r="G646" i="91" s="1"/>
  <c r="E645" i="91"/>
  <c r="F645" i="91" s="1"/>
  <c r="G645" i="91" s="1"/>
  <c r="F644" i="91"/>
  <c r="G644" i="91" s="1"/>
  <c r="E643" i="91"/>
  <c r="F643" i="91" s="1"/>
  <c r="G643" i="91" s="1"/>
  <c r="F642" i="91"/>
  <c r="G642" i="91" s="1"/>
  <c r="F641" i="91"/>
  <c r="G641" i="91" s="1"/>
  <c r="E640" i="91"/>
  <c r="E638" i="91" s="1"/>
  <c r="F638" i="91" s="1"/>
  <c r="G638" i="91" s="1"/>
  <c r="F639" i="91"/>
  <c r="G639" i="91" s="1"/>
  <c r="F637" i="91"/>
  <c r="G637" i="91" s="1"/>
  <c r="F636" i="91"/>
  <c r="G636" i="91" s="1"/>
  <c r="E635" i="91"/>
  <c r="F635" i="91" s="1"/>
  <c r="G635" i="91" s="1"/>
  <c r="F634" i="91"/>
  <c r="G634" i="91" s="1"/>
  <c r="F633" i="91"/>
  <c r="G633" i="91" s="1"/>
  <c r="F632" i="91"/>
  <c r="G632" i="91" s="1"/>
  <c r="F631" i="91"/>
  <c r="G631" i="91" s="1"/>
  <c r="F630" i="91"/>
  <c r="G630" i="91" s="1"/>
  <c r="F629" i="91"/>
  <c r="G629" i="91" s="1"/>
  <c r="E628" i="91"/>
  <c r="F628" i="91" s="1"/>
  <c r="G628" i="91" s="1"/>
  <c r="F627" i="91"/>
  <c r="G627" i="91" s="1"/>
  <c r="E626" i="91"/>
  <c r="F625" i="91"/>
  <c r="G625" i="91" s="1"/>
  <c r="F624" i="91"/>
  <c r="G624" i="91" s="1"/>
  <c r="F622" i="91"/>
  <c r="G622" i="91" s="1"/>
  <c r="F621" i="91"/>
  <c r="G621" i="91" s="1"/>
  <c r="F620" i="91"/>
  <c r="G620" i="91" s="1"/>
  <c r="E619" i="91"/>
  <c r="F619" i="91" s="1"/>
  <c r="G619" i="91" s="1"/>
  <c r="F618" i="91"/>
  <c r="G618" i="91" s="1"/>
  <c r="F617" i="91"/>
  <c r="G617" i="91" s="1"/>
  <c r="F616" i="91"/>
  <c r="G616" i="91" s="1"/>
  <c r="F615" i="91"/>
  <c r="G615" i="91" s="1"/>
  <c r="E614" i="91"/>
  <c r="F614" i="91" s="1"/>
  <c r="G614" i="91" s="1"/>
  <c r="F613" i="91"/>
  <c r="G613" i="91" s="1"/>
  <c r="F612" i="91"/>
  <c r="G612" i="91" s="1"/>
  <c r="F611" i="91"/>
  <c r="G611" i="91" s="1"/>
  <c r="E610" i="91"/>
  <c r="F610" i="91" s="1"/>
  <c r="G610" i="91" s="1"/>
  <c r="F609" i="91"/>
  <c r="G609" i="91" s="1"/>
  <c r="F608" i="91"/>
  <c r="G608" i="91" s="1"/>
  <c r="E607" i="91"/>
  <c r="F607" i="91" s="1"/>
  <c r="G607" i="91" s="1"/>
  <c r="F606" i="91"/>
  <c r="G606" i="91" s="1"/>
  <c r="F605" i="91"/>
  <c r="G605" i="91" s="1"/>
  <c r="F604" i="91"/>
  <c r="G604" i="91" s="1"/>
  <c r="F602" i="91"/>
  <c r="G602" i="91" s="1"/>
  <c r="F601" i="91"/>
  <c r="G601" i="91" s="1"/>
  <c r="E600" i="91"/>
  <c r="F600" i="91" s="1"/>
  <c r="G600" i="91" s="1"/>
  <c r="F599" i="91"/>
  <c r="G599" i="91" s="1"/>
  <c r="E598" i="91"/>
  <c r="F598" i="91" s="1"/>
  <c r="G598" i="91" s="1"/>
  <c r="F597" i="91"/>
  <c r="G597" i="91" s="1"/>
  <c r="F596" i="91"/>
  <c r="G596" i="91" s="1"/>
  <c r="E595" i="91"/>
  <c r="F595" i="91" s="1"/>
  <c r="G595" i="91" s="1"/>
  <c r="F594" i="91"/>
  <c r="G594" i="91" s="1"/>
  <c r="F593" i="91"/>
  <c r="G593" i="91" s="1"/>
  <c r="E592" i="91"/>
  <c r="F592" i="91" s="1"/>
  <c r="G592" i="91" s="1"/>
  <c r="F591" i="91"/>
  <c r="G591" i="91" s="1"/>
  <c r="E590" i="91"/>
  <c r="F590" i="91" s="1"/>
  <c r="G590" i="91" s="1"/>
  <c r="F589" i="91"/>
  <c r="G589" i="91" s="1"/>
  <c r="F588" i="91"/>
  <c r="G588" i="91" s="1"/>
  <c r="F587" i="91"/>
  <c r="G587" i="91" s="1"/>
  <c r="F586" i="91"/>
  <c r="G586" i="91" s="1"/>
  <c r="E585" i="91"/>
  <c r="F585" i="91" s="1"/>
  <c r="G585" i="91" s="1"/>
  <c r="F584" i="91"/>
  <c r="G584" i="91" s="1"/>
  <c r="F583" i="91"/>
  <c r="G583" i="91" s="1"/>
  <c r="E582" i="91"/>
  <c r="F582" i="91" s="1"/>
  <c r="G582" i="91" s="1"/>
  <c r="F581" i="91"/>
  <c r="G581" i="91" s="1"/>
  <c r="E580" i="91"/>
  <c r="F580" i="91" s="1"/>
  <c r="G580" i="91" s="1"/>
  <c r="F579" i="91"/>
  <c r="G579" i="91" s="1"/>
  <c r="F578" i="91"/>
  <c r="G578" i="91" s="1"/>
  <c r="F577" i="91"/>
  <c r="G577" i="91" s="1"/>
  <c r="E576" i="91"/>
  <c r="F576" i="91" s="1"/>
  <c r="G576" i="91" s="1"/>
  <c r="F574" i="91"/>
  <c r="G574" i="91" s="1"/>
  <c r="F573" i="91"/>
  <c r="G573" i="91" s="1"/>
  <c r="F572" i="91"/>
  <c r="G572" i="91" s="1"/>
  <c r="F571" i="91"/>
  <c r="G571" i="91" s="1"/>
  <c r="E570" i="91"/>
  <c r="F570" i="91" s="1"/>
  <c r="G570" i="91" s="1"/>
  <c r="F569" i="91"/>
  <c r="G569" i="91" s="1"/>
  <c r="F568" i="91"/>
  <c r="G568" i="91" s="1"/>
  <c r="F567" i="91"/>
  <c r="G567" i="91" s="1"/>
  <c r="E566" i="91"/>
  <c r="F566" i="91" s="1"/>
  <c r="G566" i="91" s="1"/>
  <c r="F565" i="91"/>
  <c r="G565" i="91" s="1"/>
  <c r="F564" i="91"/>
  <c r="G564" i="91" s="1"/>
  <c r="F563" i="91"/>
  <c r="G563" i="91" s="1"/>
  <c r="F562" i="91"/>
  <c r="G562" i="91" s="1"/>
  <c r="E561" i="91"/>
  <c r="F561" i="91" s="1"/>
  <c r="G561" i="91" s="1"/>
  <c r="F560" i="91"/>
  <c r="G560" i="91" s="1"/>
  <c r="F559" i="91"/>
  <c r="G559" i="91" s="1"/>
  <c r="F558" i="91"/>
  <c r="G558" i="91" s="1"/>
  <c r="E557" i="91"/>
  <c r="F557" i="91" s="1"/>
  <c r="G557" i="91" s="1"/>
  <c r="F556" i="91"/>
  <c r="G556" i="91" s="1"/>
  <c r="F555" i="91"/>
  <c r="G555" i="91" s="1"/>
  <c r="E554" i="91"/>
  <c r="F554" i="91" s="1"/>
  <c r="G554" i="91" s="1"/>
  <c r="F553" i="91"/>
  <c r="G553" i="91" s="1"/>
  <c r="F552" i="91"/>
  <c r="G552" i="91" s="1"/>
  <c r="F550" i="91"/>
  <c r="G550" i="91" s="1"/>
  <c r="F549" i="91"/>
  <c r="G549" i="91" s="1"/>
  <c r="E548" i="91"/>
  <c r="F547" i="91"/>
  <c r="G547" i="91" s="1"/>
  <c r="E546" i="91"/>
  <c r="F546" i="91" s="1"/>
  <c r="G546" i="91" s="1"/>
  <c r="F545" i="91"/>
  <c r="G545" i="91" s="1"/>
  <c r="F544" i="91"/>
  <c r="G544" i="91" s="1"/>
  <c r="E543" i="91"/>
  <c r="F543" i="91" s="1"/>
  <c r="G543" i="91" s="1"/>
  <c r="F542" i="91"/>
  <c r="G542" i="91" s="1"/>
  <c r="F541" i="91"/>
  <c r="G541" i="91" s="1"/>
  <c r="E540" i="91"/>
  <c r="F540" i="91" s="1"/>
  <c r="G540" i="91" s="1"/>
  <c r="F539" i="91"/>
  <c r="G539" i="91" s="1"/>
  <c r="E538" i="91"/>
  <c r="F538" i="91" s="1"/>
  <c r="G538" i="91" s="1"/>
  <c r="F537" i="91"/>
  <c r="G537" i="91" s="1"/>
  <c r="F536" i="91"/>
  <c r="G536" i="91" s="1"/>
  <c r="F535" i="91"/>
  <c r="G535" i="91" s="1"/>
  <c r="F534" i="91"/>
  <c r="G534" i="91" s="1"/>
  <c r="E533" i="91"/>
  <c r="F533" i="91" s="1"/>
  <c r="G533" i="91" s="1"/>
  <c r="F532" i="91"/>
  <c r="G532" i="91" s="1"/>
  <c r="F531" i="91"/>
  <c r="G531" i="91" s="1"/>
  <c r="E530" i="91"/>
  <c r="F530" i="91" s="1"/>
  <c r="G530" i="91" s="1"/>
  <c r="F529" i="91"/>
  <c r="G529" i="91" s="1"/>
  <c r="F528" i="91"/>
  <c r="G528" i="91" s="1"/>
  <c r="F527" i="91"/>
  <c r="G527" i="91" s="1"/>
  <c r="F526" i="91"/>
  <c r="G526" i="91" s="1"/>
  <c r="F525" i="91"/>
  <c r="G525" i="91" s="1"/>
  <c r="F524" i="91"/>
  <c r="G524" i="91" s="1"/>
  <c r="E523" i="91"/>
  <c r="F523" i="91" s="1"/>
  <c r="G523" i="91" s="1"/>
  <c r="F522" i="91"/>
  <c r="G522" i="91" s="1"/>
  <c r="F521" i="91"/>
  <c r="G521" i="91" s="1"/>
  <c r="F520" i="91"/>
  <c r="G520" i="91" s="1"/>
  <c r="F519" i="91"/>
  <c r="G519" i="91" s="1"/>
  <c r="E518" i="91"/>
  <c r="F518" i="91" s="1"/>
  <c r="G518" i="91" s="1"/>
  <c r="F517" i="91"/>
  <c r="G517" i="91" s="1"/>
  <c r="F516" i="91"/>
  <c r="G516" i="91" s="1"/>
  <c r="F515" i="91"/>
  <c r="G515" i="91" s="1"/>
  <c r="E514" i="91"/>
  <c r="F514" i="91" s="1"/>
  <c r="G514" i="91" s="1"/>
  <c r="F513" i="91"/>
  <c r="G513" i="91" s="1"/>
  <c r="F512" i="91"/>
  <c r="G512" i="91" s="1"/>
  <c r="F511" i="91"/>
  <c r="G511" i="91" s="1"/>
  <c r="F510" i="91"/>
  <c r="G510" i="91" s="1"/>
  <c r="E509" i="91"/>
  <c r="F509" i="91" s="1"/>
  <c r="G509" i="91" s="1"/>
  <c r="F508" i="91"/>
  <c r="G508" i="91" s="1"/>
  <c r="F507" i="91"/>
  <c r="G507" i="91" s="1"/>
  <c r="F506" i="91"/>
  <c r="G506" i="91" s="1"/>
  <c r="E505" i="91"/>
  <c r="F505" i="91" s="1"/>
  <c r="G505" i="91" s="1"/>
  <c r="F504" i="91"/>
  <c r="G504" i="91" s="1"/>
  <c r="F503" i="91"/>
  <c r="G503" i="91" s="1"/>
  <c r="E502" i="91"/>
  <c r="F502" i="91" s="1"/>
  <c r="G502" i="91" s="1"/>
  <c r="F501" i="91"/>
  <c r="G501" i="91" s="1"/>
  <c r="F500" i="91"/>
  <c r="G500" i="91" s="1"/>
  <c r="F499" i="91"/>
  <c r="G499" i="91" s="1"/>
  <c r="F497" i="91"/>
  <c r="G497" i="91" s="1"/>
  <c r="F496" i="91"/>
  <c r="G496" i="91" s="1"/>
  <c r="E495" i="91"/>
  <c r="F494" i="91"/>
  <c r="G494" i="91" s="1"/>
  <c r="E493" i="91"/>
  <c r="F493" i="91" s="1"/>
  <c r="G493" i="91" s="1"/>
  <c r="F492" i="91"/>
  <c r="G492" i="91" s="1"/>
  <c r="F491" i="91"/>
  <c r="G491" i="91" s="1"/>
  <c r="E490" i="91"/>
  <c r="F490" i="91" s="1"/>
  <c r="G490" i="91" s="1"/>
  <c r="F489" i="91"/>
  <c r="G489" i="91" s="1"/>
  <c r="F488" i="91"/>
  <c r="G488" i="91" s="1"/>
  <c r="F487" i="91"/>
  <c r="G487" i="91" s="1"/>
  <c r="F486" i="91"/>
  <c r="G486" i="91" s="1"/>
  <c r="F485" i="91"/>
  <c r="G485" i="91" s="1"/>
  <c r="E484" i="91"/>
  <c r="F484" i="91" s="1"/>
  <c r="G484" i="91" s="1"/>
  <c r="F483" i="91"/>
  <c r="G483" i="91" s="1"/>
  <c r="E482" i="91"/>
  <c r="F482" i="91" s="1"/>
  <c r="G482" i="91" s="1"/>
  <c r="F481" i="91"/>
  <c r="G481" i="91" s="1"/>
  <c r="E480" i="91"/>
  <c r="F480" i="91" s="1"/>
  <c r="G480" i="91" s="1"/>
  <c r="E479" i="91"/>
  <c r="F479" i="91" s="1"/>
  <c r="G479" i="91" s="1"/>
  <c r="E478" i="91"/>
  <c r="F478" i="91" s="1"/>
  <c r="G478" i="91" s="1"/>
  <c r="F476" i="91"/>
  <c r="G476" i="91" s="1"/>
  <c r="F475" i="91"/>
  <c r="G475" i="91" s="1"/>
  <c r="E474" i="91"/>
  <c r="F474" i="91" s="1"/>
  <c r="G474" i="91" s="1"/>
  <c r="F473" i="91"/>
  <c r="G473" i="91" s="1"/>
  <c r="F472" i="91"/>
  <c r="G472" i="91" s="1"/>
  <c r="F471" i="91"/>
  <c r="G471" i="91" s="1"/>
  <c r="F470" i="91"/>
  <c r="G470" i="91" s="1"/>
  <c r="F469" i="91"/>
  <c r="G469" i="91" s="1"/>
  <c r="F468" i="91"/>
  <c r="G468" i="91" s="1"/>
  <c r="E467" i="91"/>
  <c r="F467" i="91" s="1"/>
  <c r="G467" i="91" s="1"/>
  <c r="F466" i="91"/>
  <c r="G466" i="91" s="1"/>
  <c r="F465" i="91"/>
  <c r="G465" i="91" s="1"/>
  <c r="F464" i="91"/>
  <c r="G464" i="91" s="1"/>
  <c r="F463" i="91"/>
  <c r="G463" i="91" s="1"/>
  <c r="E462" i="91"/>
  <c r="F462" i="91" s="1"/>
  <c r="G462" i="91" s="1"/>
  <c r="F461" i="91"/>
  <c r="G461" i="91" s="1"/>
  <c r="F460" i="91"/>
  <c r="G460" i="91" s="1"/>
  <c r="F459" i="91"/>
  <c r="G459" i="91" s="1"/>
  <c r="E458" i="91"/>
  <c r="F458" i="91" s="1"/>
  <c r="G458" i="91" s="1"/>
  <c r="F457" i="91"/>
  <c r="G457" i="91" s="1"/>
  <c r="E456" i="91"/>
  <c r="F456" i="91" s="1"/>
  <c r="G456" i="91" s="1"/>
  <c r="F455" i="91"/>
  <c r="G455" i="91" s="1"/>
  <c r="E454" i="91"/>
  <c r="F454" i="91" s="1"/>
  <c r="G454" i="91" s="1"/>
  <c r="F452" i="91"/>
  <c r="G452" i="91" s="1"/>
  <c r="F451" i="91"/>
  <c r="G451" i="91" s="1"/>
  <c r="F450" i="91"/>
  <c r="G450" i="91" s="1"/>
  <c r="E449" i="91"/>
  <c r="F449" i="91" s="1"/>
  <c r="G449" i="91" s="1"/>
  <c r="F448" i="91"/>
  <c r="G448" i="91" s="1"/>
  <c r="F447" i="91"/>
  <c r="G447" i="91" s="1"/>
  <c r="E446" i="91"/>
  <c r="F446" i="91" s="1"/>
  <c r="G446" i="91" s="1"/>
  <c r="F445" i="91"/>
  <c r="G445" i="91" s="1"/>
  <c r="F444" i="91"/>
  <c r="G444" i="91" s="1"/>
  <c r="F443" i="91"/>
  <c r="G443" i="91" s="1"/>
  <c r="F441" i="91"/>
  <c r="G441" i="91" s="1"/>
  <c r="F440" i="91"/>
  <c r="G440" i="91" s="1"/>
  <c r="E439" i="91"/>
  <c r="F438" i="91"/>
  <c r="G438" i="91" s="1"/>
  <c r="E437" i="91"/>
  <c r="F436" i="91"/>
  <c r="G436" i="91" s="1"/>
  <c r="F435" i="91"/>
  <c r="G435" i="91" s="1"/>
  <c r="E434" i="91"/>
  <c r="F434" i="91" s="1"/>
  <c r="G434" i="91" s="1"/>
  <c r="F433" i="91"/>
  <c r="G433" i="91" s="1"/>
  <c r="F432" i="91"/>
  <c r="G432" i="91" s="1"/>
  <c r="E431" i="91"/>
  <c r="F431" i="91" s="1"/>
  <c r="G431" i="91" s="1"/>
  <c r="F430" i="91"/>
  <c r="G430" i="91" s="1"/>
  <c r="E429" i="91"/>
  <c r="F429" i="91" s="1"/>
  <c r="G429" i="91" s="1"/>
  <c r="F428" i="91"/>
  <c r="G428" i="91" s="1"/>
  <c r="F427" i="91"/>
  <c r="G427" i="91" s="1"/>
  <c r="F426" i="91"/>
  <c r="G426" i="91" s="1"/>
  <c r="F425" i="91"/>
  <c r="G425" i="91" s="1"/>
  <c r="E424" i="91"/>
  <c r="F424" i="91" s="1"/>
  <c r="G424" i="91" s="1"/>
  <c r="F423" i="91"/>
  <c r="G423" i="91" s="1"/>
  <c r="F422" i="91"/>
  <c r="G422" i="91" s="1"/>
  <c r="E421" i="91"/>
  <c r="F421" i="91" s="1"/>
  <c r="G421" i="91" s="1"/>
  <c r="F420" i="91"/>
  <c r="G420" i="91" s="1"/>
  <c r="F419" i="91"/>
  <c r="G419" i="91" s="1"/>
  <c r="F418" i="91"/>
  <c r="G418" i="91" s="1"/>
  <c r="F417" i="91"/>
  <c r="G417" i="91" s="1"/>
  <c r="F416" i="91"/>
  <c r="G416" i="91" s="1"/>
  <c r="F415" i="91"/>
  <c r="G415" i="91" s="1"/>
  <c r="E414" i="91"/>
  <c r="F414" i="91" s="1"/>
  <c r="G414" i="91" s="1"/>
  <c r="F413" i="91"/>
  <c r="G413" i="91" s="1"/>
  <c r="F412" i="91"/>
  <c r="G412" i="91" s="1"/>
  <c r="F411" i="91"/>
  <c r="G411" i="91" s="1"/>
  <c r="F410" i="91"/>
  <c r="G410" i="91" s="1"/>
  <c r="E409" i="91"/>
  <c r="F409" i="91" s="1"/>
  <c r="G409" i="91" s="1"/>
  <c r="F408" i="91"/>
  <c r="G408" i="91" s="1"/>
  <c r="F407" i="91"/>
  <c r="G407" i="91" s="1"/>
  <c r="F406" i="91"/>
  <c r="G406" i="91" s="1"/>
  <c r="E405" i="91"/>
  <c r="F405" i="91" s="1"/>
  <c r="G405" i="91" s="1"/>
  <c r="F404" i="91"/>
  <c r="G404" i="91" s="1"/>
  <c r="F403" i="91"/>
  <c r="G403" i="91" s="1"/>
  <c r="F402" i="91"/>
  <c r="G402" i="91" s="1"/>
  <c r="F401" i="91"/>
  <c r="G401" i="91" s="1"/>
  <c r="E400" i="91"/>
  <c r="F400" i="91" s="1"/>
  <c r="G400" i="91" s="1"/>
  <c r="F399" i="91"/>
  <c r="G399" i="91" s="1"/>
  <c r="F398" i="91"/>
  <c r="G398" i="91" s="1"/>
  <c r="F397" i="91"/>
  <c r="G397" i="91" s="1"/>
  <c r="E396" i="91"/>
  <c r="F396" i="91" s="1"/>
  <c r="G396" i="91" s="1"/>
  <c r="F395" i="91"/>
  <c r="G395" i="91" s="1"/>
  <c r="F394" i="91"/>
  <c r="G394" i="91" s="1"/>
  <c r="E393" i="91"/>
  <c r="F393" i="91" s="1"/>
  <c r="G393" i="91" s="1"/>
  <c r="F392" i="91"/>
  <c r="G392" i="91" s="1"/>
  <c r="F391" i="91"/>
  <c r="G391" i="91" s="1"/>
  <c r="F390" i="91"/>
  <c r="G390" i="91" s="1"/>
  <c r="F388" i="91"/>
  <c r="G388" i="91" s="1"/>
  <c r="F387" i="91"/>
  <c r="G387" i="91" s="1"/>
  <c r="E386" i="91"/>
  <c r="F385" i="91"/>
  <c r="G385" i="91" s="1"/>
  <c r="E384" i="91"/>
  <c r="F384" i="91" s="1"/>
  <c r="G384" i="91" s="1"/>
  <c r="F383" i="91"/>
  <c r="G383" i="91" s="1"/>
  <c r="F382" i="91"/>
  <c r="G382" i="91" s="1"/>
  <c r="E381" i="91"/>
  <c r="F381" i="91" s="1"/>
  <c r="G381" i="91" s="1"/>
  <c r="F380" i="91"/>
  <c r="G380" i="91" s="1"/>
  <c r="F379" i="91"/>
  <c r="G379" i="91" s="1"/>
  <c r="E378" i="91"/>
  <c r="F378" i="91" s="1"/>
  <c r="G378" i="91" s="1"/>
  <c r="F377" i="91"/>
  <c r="G377" i="91" s="1"/>
  <c r="E376" i="91"/>
  <c r="F376" i="91" s="1"/>
  <c r="G376" i="91" s="1"/>
  <c r="F375" i="91"/>
  <c r="G375" i="91" s="1"/>
  <c r="F374" i="91"/>
  <c r="G374" i="91" s="1"/>
  <c r="E373" i="91"/>
  <c r="F372" i="91"/>
  <c r="G372" i="91" s="1"/>
  <c r="F370" i="91"/>
  <c r="G370" i="91" s="1"/>
  <c r="F369" i="91"/>
  <c r="G369" i="91" s="1"/>
  <c r="E368" i="91"/>
  <c r="F368" i="91" s="1"/>
  <c r="G368" i="91" s="1"/>
  <c r="F367" i="91"/>
  <c r="G367" i="91" s="1"/>
  <c r="F366" i="91"/>
  <c r="G366" i="91" s="1"/>
  <c r="F365" i="91"/>
  <c r="G365" i="91" s="1"/>
  <c r="F364" i="91"/>
  <c r="G364" i="91" s="1"/>
  <c r="F363" i="91"/>
  <c r="G363" i="91" s="1"/>
  <c r="F362" i="91"/>
  <c r="G362" i="91" s="1"/>
  <c r="E361" i="91"/>
  <c r="F361" i="91" s="1"/>
  <c r="G361" i="91" s="1"/>
  <c r="F360" i="91"/>
  <c r="G360" i="91" s="1"/>
  <c r="F359" i="91"/>
  <c r="G359" i="91" s="1"/>
  <c r="F358" i="91"/>
  <c r="G358" i="91" s="1"/>
  <c r="F357" i="91"/>
  <c r="G357" i="91" s="1"/>
  <c r="E356" i="91"/>
  <c r="F356" i="91" s="1"/>
  <c r="G356" i="91" s="1"/>
  <c r="F355" i="91"/>
  <c r="G355" i="91" s="1"/>
  <c r="F354" i="91"/>
  <c r="G354" i="91" s="1"/>
  <c r="F353" i="91"/>
  <c r="G353" i="91" s="1"/>
  <c r="E352" i="91"/>
  <c r="F352" i="91" s="1"/>
  <c r="G352" i="91" s="1"/>
  <c r="F351" i="91"/>
  <c r="G351" i="91" s="1"/>
  <c r="F350" i="91"/>
  <c r="G350" i="91" s="1"/>
  <c r="F349" i="91"/>
  <c r="G349" i="91" s="1"/>
  <c r="F348" i="91"/>
  <c r="G348" i="91" s="1"/>
  <c r="E347" i="91"/>
  <c r="F347" i="91" s="1"/>
  <c r="G347" i="91" s="1"/>
  <c r="F346" i="91"/>
  <c r="G346" i="91" s="1"/>
  <c r="F345" i="91"/>
  <c r="G345" i="91" s="1"/>
  <c r="F344" i="91"/>
  <c r="G344" i="91" s="1"/>
  <c r="E343" i="91"/>
  <c r="F343" i="91" s="1"/>
  <c r="G343" i="91" s="1"/>
  <c r="F342" i="91"/>
  <c r="G342" i="91" s="1"/>
  <c r="F341" i="91"/>
  <c r="G341" i="91" s="1"/>
  <c r="E340" i="91"/>
  <c r="F340" i="91" s="1"/>
  <c r="G340" i="91" s="1"/>
  <c r="F339" i="91"/>
  <c r="G339" i="91" s="1"/>
  <c r="F338" i="91"/>
  <c r="G338" i="91" s="1"/>
  <c r="F337" i="91"/>
  <c r="G337" i="91" s="1"/>
  <c r="F336" i="91"/>
  <c r="G336" i="91" s="1"/>
  <c r="F335" i="91"/>
  <c r="G335" i="91" s="1"/>
  <c r="F331" i="91"/>
  <c r="G331" i="91" s="1"/>
  <c r="C158" i="3"/>
  <c r="D158" i="3" s="1"/>
  <c r="E158" i="3" s="1"/>
  <c r="F326" i="91"/>
  <c r="G326" i="91" s="1"/>
  <c r="F325" i="91"/>
  <c r="G325" i="91" s="1"/>
  <c r="F323" i="91"/>
  <c r="G323" i="91" s="1"/>
  <c r="F321" i="91"/>
  <c r="G321" i="91" s="1"/>
  <c r="F320" i="91"/>
  <c r="G320" i="91" s="1"/>
  <c r="F319" i="91"/>
  <c r="G319" i="91" s="1"/>
  <c r="F318" i="91"/>
  <c r="G318" i="91" s="1"/>
  <c r="F317" i="91"/>
  <c r="G317" i="91" s="1"/>
  <c r="F316" i="91"/>
  <c r="G316" i="91" s="1"/>
  <c r="F315" i="91"/>
  <c r="G315" i="91" s="1"/>
  <c r="F314" i="91"/>
  <c r="G314" i="91" s="1"/>
  <c r="F313" i="91"/>
  <c r="G313" i="91" s="1"/>
  <c r="F312" i="91"/>
  <c r="G312" i="91" s="1"/>
  <c r="F310" i="91"/>
  <c r="G310" i="91" s="1"/>
  <c r="F309" i="91"/>
  <c r="G309" i="91" s="1"/>
  <c r="F308" i="91"/>
  <c r="G308" i="91" s="1"/>
  <c r="F307" i="91"/>
  <c r="G307" i="91" s="1"/>
  <c r="F306" i="91"/>
  <c r="G306" i="91" s="1"/>
  <c r="F305" i="91"/>
  <c r="G305" i="91" s="1"/>
  <c r="F304" i="91"/>
  <c r="G304" i="91" s="1"/>
  <c r="F303" i="91"/>
  <c r="G303" i="91" s="1"/>
  <c r="F302" i="91"/>
  <c r="G302" i="91" s="1"/>
  <c r="F301" i="91"/>
  <c r="G301" i="91" s="1"/>
  <c r="F300" i="91"/>
  <c r="G300" i="91" s="1"/>
  <c r="F299" i="91"/>
  <c r="G299" i="91" s="1"/>
  <c r="F298" i="91"/>
  <c r="G298" i="91" s="1"/>
  <c r="F297" i="91"/>
  <c r="G297" i="91" s="1"/>
  <c r="F296" i="91"/>
  <c r="G296" i="91" s="1"/>
  <c r="F295" i="91"/>
  <c r="G295" i="91" s="1"/>
  <c r="F294" i="91"/>
  <c r="G294" i="91" s="1"/>
  <c r="F293" i="91"/>
  <c r="G293" i="91" s="1"/>
  <c r="F292" i="91"/>
  <c r="G292" i="91" s="1"/>
  <c r="F289" i="91"/>
  <c r="G289" i="91" s="1"/>
  <c r="F288" i="91"/>
  <c r="G288" i="91" s="1"/>
  <c r="F286" i="91"/>
  <c r="G286" i="91" s="1"/>
  <c r="F284" i="91"/>
  <c r="G284" i="91" s="1"/>
  <c r="F283" i="91"/>
  <c r="G283" i="91" s="1"/>
  <c r="F282" i="91"/>
  <c r="G282" i="91" s="1"/>
  <c r="F280" i="91"/>
  <c r="G280" i="91" s="1"/>
  <c r="F278" i="91"/>
  <c r="G278" i="91" s="1"/>
  <c r="F275" i="91"/>
  <c r="G275" i="91" s="1"/>
  <c r="F274" i="91"/>
  <c r="G274" i="91" s="1"/>
  <c r="F272" i="91"/>
  <c r="G272" i="91" s="1"/>
  <c r="F270" i="91"/>
  <c r="G270" i="91" s="1"/>
  <c r="F269" i="91"/>
  <c r="G269" i="91" s="1"/>
  <c r="F268" i="91"/>
  <c r="G268" i="91" s="1"/>
  <c r="F267" i="91"/>
  <c r="G267" i="91" s="1"/>
  <c r="F261" i="91"/>
  <c r="G261" i="91" s="1"/>
  <c r="F265" i="91"/>
  <c r="G265" i="91" s="1"/>
  <c r="F264" i="91"/>
  <c r="G264" i="91" s="1"/>
  <c r="F263" i="91"/>
  <c r="G263" i="91" s="1"/>
  <c r="F262" i="91"/>
  <c r="G262" i="91" s="1"/>
  <c r="F260" i="91"/>
  <c r="G260" i="91" s="1"/>
  <c r="F259" i="91"/>
  <c r="G259" i="91" s="1"/>
  <c r="F258" i="91"/>
  <c r="G258" i="91" s="1"/>
  <c r="F257" i="91"/>
  <c r="G257" i="91" s="1"/>
  <c r="F256" i="91"/>
  <c r="G256" i="91" s="1"/>
  <c r="F255" i="91"/>
  <c r="G255" i="91" s="1"/>
  <c r="F254" i="91"/>
  <c r="G254" i="91" s="1"/>
  <c r="F252" i="91"/>
  <c r="G252" i="91" s="1"/>
  <c r="F250" i="91"/>
  <c r="G250" i="91" s="1"/>
  <c r="F248" i="91"/>
  <c r="G248" i="91" s="1"/>
  <c r="F247" i="91"/>
  <c r="G247" i="91" s="1"/>
  <c r="F245" i="91"/>
  <c r="G245" i="91" s="1"/>
  <c r="F244" i="91"/>
  <c r="G244" i="91" s="1"/>
  <c r="F243" i="91"/>
  <c r="G243" i="91" s="1"/>
  <c r="F237" i="91"/>
  <c r="G237" i="91" s="1"/>
  <c r="F235" i="91"/>
  <c r="G235" i="91" s="1"/>
  <c r="F234" i="91"/>
  <c r="G234" i="91" s="1"/>
  <c r="F233" i="91"/>
  <c r="G233" i="91" s="1"/>
  <c r="F232" i="91"/>
  <c r="G232" i="91" s="1"/>
  <c r="F231" i="91"/>
  <c r="G231" i="91" s="1"/>
  <c r="F229" i="91"/>
  <c r="G229" i="91" s="1"/>
  <c r="F228" i="91"/>
  <c r="G228" i="91" s="1"/>
  <c r="F227" i="91"/>
  <c r="G227" i="91" s="1"/>
  <c r="F226" i="91"/>
  <c r="G226" i="91" s="1"/>
  <c r="F225" i="91"/>
  <c r="G225" i="91" s="1"/>
  <c r="F224" i="91"/>
  <c r="G224" i="91" s="1"/>
  <c r="F223" i="91"/>
  <c r="G223" i="91" s="1"/>
  <c r="F222" i="91"/>
  <c r="G222" i="91" s="1"/>
  <c r="F221" i="91"/>
  <c r="G221" i="91" s="1"/>
  <c r="F220" i="91"/>
  <c r="G220" i="91" s="1"/>
  <c r="F219" i="91"/>
  <c r="G219" i="91" s="1"/>
  <c r="F218" i="91"/>
  <c r="G218" i="91" s="1"/>
  <c r="F217" i="91"/>
  <c r="G217" i="91" s="1"/>
  <c r="F216" i="91"/>
  <c r="G216" i="91" s="1"/>
  <c r="F215" i="91"/>
  <c r="G215" i="91" s="1"/>
  <c r="F214" i="91"/>
  <c r="G214" i="91" s="1"/>
  <c r="F213" i="91"/>
  <c r="G213" i="91" s="1"/>
  <c r="F212" i="91"/>
  <c r="G212" i="91" s="1"/>
  <c r="F211" i="91"/>
  <c r="G211" i="91" s="1"/>
  <c r="F210" i="91"/>
  <c r="G210" i="91" s="1"/>
  <c r="F209" i="91"/>
  <c r="G209" i="91" s="1"/>
  <c r="F208" i="91"/>
  <c r="G208" i="91" s="1"/>
  <c r="F207" i="91"/>
  <c r="G207" i="91" s="1"/>
  <c r="F206" i="91"/>
  <c r="G206" i="91" s="1"/>
  <c r="F205" i="91"/>
  <c r="G205" i="91" s="1"/>
  <c r="F204" i="91"/>
  <c r="G204" i="91" s="1"/>
  <c r="F200" i="91"/>
  <c r="G200" i="91" s="1"/>
  <c r="F198" i="91"/>
  <c r="G198" i="91" s="1"/>
  <c r="F197" i="91"/>
  <c r="G197" i="91" s="1"/>
  <c r="F196" i="91"/>
  <c r="G196" i="91" s="1"/>
  <c r="F195" i="91"/>
  <c r="G195" i="91" s="1"/>
  <c r="F194" i="91"/>
  <c r="G194" i="91" s="1"/>
  <c r="F192" i="91"/>
  <c r="G192" i="91" s="1"/>
  <c r="F191" i="91"/>
  <c r="G191" i="91" s="1"/>
  <c r="F190" i="91"/>
  <c r="G190" i="91" s="1"/>
  <c r="F189" i="91"/>
  <c r="G189" i="91" s="1"/>
  <c r="F188" i="91"/>
  <c r="G188" i="91" s="1"/>
  <c r="F187" i="91"/>
  <c r="G187" i="91" s="1"/>
  <c r="F186" i="91"/>
  <c r="G186" i="91" s="1"/>
  <c r="F185" i="91"/>
  <c r="G185" i="91" s="1"/>
  <c r="F184" i="91"/>
  <c r="G184" i="91" s="1"/>
  <c r="F183" i="91"/>
  <c r="G183" i="91" s="1"/>
  <c r="F182" i="91"/>
  <c r="G182" i="91" s="1"/>
  <c r="F181" i="91"/>
  <c r="G181" i="91" s="1"/>
  <c r="F180" i="91"/>
  <c r="G180" i="91" s="1"/>
  <c r="F179" i="91"/>
  <c r="G179" i="91" s="1"/>
  <c r="F178" i="91"/>
  <c r="G178" i="91" s="1"/>
  <c r="F177" i="91"/>
  <c r="G177" i="91" s="1"/>
  <c r="F176" i="91"/>
  <c r="G176" i="91" s="1"/>
  <c r="F175" i="91"/>
  <c r="G175" i="91" s="1"/>
  <c r="F174" i="91"/>
  <c r="G174" i="91" s="1"/>
  <c r="F173" i="91"/>
  <c r="G173" i="91" s="1"/>
  <c r="F172" i="91"/>
  <c r="G172" i="91" s="1"/>
  <c r="F171" i="91"/>
  <c r="G171" i="91" s="1"/>
  <c r="F170" i="91"/>
  <c r="G170" i="91" s="1"/>
  <c r="F169" i="91"/>
  <c r="G169" i="91" s="1"/>
  <c r="F168" i="91"/>
  <c r="G168" i="91" s="1"/>
  <c r="F167" i="91"/>
  <c r="G167" i="91" s="1"/>
  <c r="F166" i="91"/>
  <c r="G166" i="91" s="1"/>
  <c r="F165" i="91"/>
  <c r="G165" i="91" s="1"/>
  <c r="F164" i="91"/>
  <c r="G164" i="91" s="1"/>
  <c r="F163" i="91"/>
  <c r="G163" i="91" s="1"/>
  <c r="F160" i="91"/>
  <c r="G160" i="91" s="1"/>
  <c r="F159" i="91"/>
  <c r="G159" i="91" s="1"/>
  <c r="F158" i="91"/>
  <c r="G158" i="91" s="1"/>
  <c r="F157" i="91"/>
  <c r="G157" i="91" s="1"/>
  <c r="F156" i="91"/>
  <c r="G156" i="91" s="1"/>
  <c r="F155" i="91"/>
  <c r="G155" i="91" s="1"/>
  <c r="F154" i="91"/>
  <c r="G154" i="91" s="1"/>
  <c r="F153" i="91"/>
  <c r="G153" i="91" s="1"/>
  <c r="F152" i="91"/>
  <c r="G152" i="91" s="1"/>
  <c r="F151" i="91"/>
  <c r="G151" i="91" s="1"/>
  <c r="F150" i="91"/>
  <c r="G150" i="91" s="1"/>
  <c r="F149" i="91"/>
  <c r="G149" i="91" s="1"/>
  <c r="F148" i="91"/>
  <c r="G148" i="91" s="1"/>
  <c r="F146" i="91"/>
  <c r="G146" i="91" s="1"/>
  <c r="F145" i="91"/>
  <c r="G145" i="91" s="1"/>
  <c r="F144" i="91"/>
  <c r="G144" i="91" s="1"/>
  <c r="F143" i="91"/>
  <c r="G143" i="91" s="1"/>
  <c r="F142" i="91"/>
  <c r="G142" i="91" s="1"/>
  <c r="F141" i="91"/>
  <c r="G141" i="91" s="1"/>
  <c r="F140" i="91"/>
  <c r="G140" i="91" s="1"/>
  <c r="F139" i="91"/>
  <c r="G139" i="91" s="1"/>
  <c r="F138" i="91"/>
  <c r="G138" i="91" s="1"/>
  <c r="F137" i="91"/>
  <c r="G137" i="91" s="1"/>
  <c r="F133" i="91"/>
  <c r="G133" i="91" s="1"/>
  <c r="F135" i="91"/>
  <c r="G135" i="91" s="1"/>
  <c r="F134" i="91"/>
  <c r="G134" i="91" s="1"/>
  <c r="F132" i="91"/>
  <c r="G132" i="91" s="1"/>
  <c r="F131" i="91"/>
  <c r="G131" i="91" s="1"/>
  <c r="F130" i="91"/>
  <c r="G130" i="91" s="1"/>
  <c r="F129" i="91"/>
  <c r="G129" i="91" s="1"/>
  <c r="F128" i="91"/>
  <c r="G128" i="91" s="1"/>
  <c r="F127" i="91"/>
  <c r="G127" i="91" s="1"/>
  <c r="F126" i="91"/>
  <c r="G126" i="91" s="1"/>
  <c r="F125" i="91"/>
  <c r="G125" i="91" s="1"/>
  <c r="F124" i="91"/>
  <c r="G124" i="91" s="1"/>
  <c r="F121" i="91"/>
  <c r="G121" i="91" s="1"/>
  <c r="F120" i="91"/>
  <c r="G120" i="91" s="1"/>
  <c r="F119" i="91"/>
  <c r="G119" i="91" s="1"/>
  <c r="F118" i="91"/>
  <c r="G118" i="91" s="1"/>
  <c r="F117" i="91"/>
  <c r="G117" i="91" s="1"/>
  <c r="F116" i="91"/>
  <c r="G116" i="91" s="1"/>
  <c r="F115" i="91"/>
  <c r="G115" i="91" s="1"/>
  <c r="F114" i="91"/>
  <c r="G114" i="91" s="1"/>
  <c r="F113" i="91"/>
  <c r="G113" i="91" s="1"/>
  <c r="F112" i="91"/>
  <c r="G112" i="91" s="1"/>
  <c r="F111" i="91"/>
  <c r="G111" i="91" s="1"/>
  <c r="F110" i="91"/>
  <c r="G110" i="91" s="1"/>
  <c r="F109" i="91"/>
  <c r="G109" i="91" s="1"/>
  <c r="F108" i="91"/>
  <c r="G108" i="91" s="1"/>
  <c r="F107" i="91"/>
  <c r="G107" i="91" s="1"/>
  <c r="F106" i="91"/>
  <c r="G106" i="91" s="1"/>
  <c r="F105" i="91"/>
  <c r="G105" i="91" s="1"/>
  <c r="F103" i="91"/>
  <c r="G103" i="91" s="1"/>
  <c r="F102" i="91"/>
  <c r="G102" i="91" s="1"/>
  <c r="F101" i="91"/>
  <c r="G101" i="91" s="1"/>
  <c r="F100" i="91"/>
  <c r="G100" i="91" s="1"/>
  <c r="F99" i="91"/>
  <c r="G99" i="91" s="1"/>
  <c r="F98" i="91"/>
  <c r="G98" i="91" s="1"/>
  <c r="F97" i="91"/>
  <c r="G97" i="91" s="1"/>
  <c r="F96" i="91"/>
  <c r="G96" i="91" s="1"/>
  <c r="F95" i="91"/>
  <c r="G95" i="91" s="1"/>
  <c r="F94" i="91"/>
  <c r="G94" i="91" s="1"/>
  <c r="F93" i="91"/>
  <c r="G93" i="91" s="1"/>
  <c r="F92" i="91"/>
  <c r="G92" i="91" s="1"/>
  <c r="F88" i="91"/>
  <c r="G88" i="91" s="1"/>
  <c r="F90" i="91"/>
  <c r="G90" i="91" s="1"/>
  <c r="F89" i="91"/>
  <c r="G89" i="91" s="1"/>
  <c r="F87" i="91"/>
  <c r="G87" i="91" s="1"/>
  <c r="F86" i="91"/>
  <c r="G86" i="91" s="1"/>
  <c r="F85" i="91"/>
  <c r="G85" i="91" s="1"/>
  <c r="F84" i="91"/>
  <c r="G84" i="91" s="1"/>
  <c r="F83" i="91"/>
  <c r="G83" i="91" s="1"/>
  <c r="F82" i="91"/>
  <c r="G82" i="91" s="1"/>
  <c r="F81" i="91"/>
  <c r="G81" i="91" s="1"/>
  <c r="F80" i="91"/>
  <c r="G80" i="91" s="1"/>
  <c r="F79" i="91"/>
  <c r="G79" i="91" s="1"/>
  <c r="F76" i="91"/>
  <c r="G76" i="91" s="1"/>
  <c r="F75" i="91"/>
  <c r="G75" i="91" s="1"/>
  <c r="F74" i="91"/>
  <c r="G74" i="91" s="1"/>
  <c r="F72" i="91"/>
  <c r="G72" i="91" s="1"/>
  <c r="F71" i="91"/>
  <c r="G71" i="91" s="1"/>
  <c r="F69" i="91"/>
  <c r="G69" i="91" s="1"/>
  <c r="F68" i="91"/>
  <c r="G68" i="91" s="1"/>
  <c r="F65" i="91"/>
  <c r="G65" i="91" s="1"/>
  <c r="F64" i="91"/>
  <c r="G64" i="91" s="1"/>
  <c r="F63" i="91"/>
  <c r="G63" i="91" s="1"/>
  <c r="F62" i="91"/>
  <c r="G62" i="91" s="1"/>
  <c r="F58" i="91"/>
  <c r="G58" i="91" s="1"/>
  <c r="F60" i="91"/>
  <c r="G60" i="91" s="1"/>
  <c r="F59" i="91"/>
  <c r="G59" i="91" s="1"/>
  <c r="F57" i="91"/>
  <c r="G57" i="91" s="1"/>
  <c r="F56" i="91"/>
  <c r="G56" i="91" s="1"/>
  <c r="F55" i="91"/>
  <c r="G55" i="91" s="1"/>
  <c r="F54" i="91"/>
  <c r="G54" i="91" s="1"/>
  <c r="F53" i="91"/>
  <c r="G53" i="91" s="1"/>
  <c r="F52" i="91"/>
  <c r="G52" i="91" s="1"/>
  <c r="F50" i="91"/>
  <c r="G50" i="91" s="1"/>
  <c r="F49" i="91"/>
  <c r="G49" i="91" s="1"/>
  <c r="F48" i="91"/>
  <c r="G48" i="91" s="1"/>
  <c r="F47" i="91"/>
  <c r="G47" i="91" s="1"/>
  <c r="F45" i="91"/>
  <c r="G45" i="91" s="1"/>
  <c r="F44" i="91"/>
  <c r="G44" i="91" s="1"/>
  <c r="F43" i="91"/>
  <c r="G43" i="91" s="1"/>
  <c r="F42" i="91"/>
  <c r="G42" i="91" s="1"/>
  <c r="F41" i="91"/>
  <c r="G41" i="91" s="1"/>
  <c r="F40" i="91"/>
  <c r="G40" i="91" s="1"/>
  <c r="F39" i="91"/>
  <c r="G39" i="91" s="1"/>
  <c r="F38" i="91"/>
  <c r="G38" i="91" s="1"/>
  <c r="F37" i="91"/>
  <c r="G37" i="91" s="1"/>
  <c r="F36" i="91"/>
  <c r="G36" i="91" s="1"/>
  <c r="F35" i="91"/>
  <c r="G35" i="91" s="1"/>
  <c r="F34" i="91"/>
  <c r="G34" i="91" s="1"/>
  <c r="F33" i="91"/>
  <c r="G33" i="91" s="1"/>
  <c r="F32" i="91"/>
  <c r="G32" i="91" s="1"/>
  <c r="F30" i="91"/>
  <c r="G30" i="91" s="1"/>
  <c r="F29" i="91"/>
  <c r="G29" i="91" s="1"/>
  <c r="F28" i="91"/>
  <c r="G28" i="91" s="1"/>
  <c r="F27" i="91"/>
  <c r="G27" i="91" s="1"/>
  <c r="F26" i="91"/>
  <c r="G26" i="91" s="1"/>
  <c r="F25" i="91"/>
  <c r="G25" i="91" s="1"/>
  <c r="F24" i="91"/>
  <c r="G24" i="91" s="1"/>
  <c r="F23" i="91"/>
  <c r="G23" i="91" s="1"/>
  <c r="F22" i="91"/>
  <c r="G22" i="91" s="1"/>
  <c r="F21" i="91"/>
  <c r="G21" i="91" s="1"/>
  <c r="F20" i="91"/>
  <c r="G20" i="91" s="1"/>
  <c r="F19" i="91"/>
  <c r="G19" i="91" s="1"/>
  <c r="F18" i="91"/>
  <c r="G18" i="91" s="1"/>
  <c r="F17" i="91"/>
  <c r="G17" i="91" s="1"/>
  <c r="F16" i="91"/>
  <c r="G16" i="91" s="1"/>
  <c r="F15" i="91"/>
  <c r="G15" i="91" s="1"/>
  <c r="F14" i="91"/>
  <c r="G14" i="91" s="1"/>
  <c r="F13" i="91"/>
  <c r="G13" i="91" s="1"/>
  <c r="F10" i="91"/>
  <c r="G10" i="91" s="1"/>
  <c r="F9" i="91"/>
  <c r="G9" i="91" s="1"/>
  <c r="F8" i="91"/>
  <c r="G8" i="91" s="1"/>
  <c r="C60" i="3"/>
  <c r="F6" i="91"/>
  <c r="G6" i="91" s="1"/>
  <c r="F5" i="91"/>
  <c r="G5" i="91" s="1"/>
  <c r="F4" i="91"/>
  <c r="G4" i="91" s="1"/>
  <c r="F716" i="91" l="1"/>
  <c r="G716" i="91" s="1"/>
  <c r="E776" i="91"/>
  <c r="Q55" i="39"/>
  <c r="O55" i="39"/>
  <c r="F61" i="39"/>
  <c r="F68" i="39" s="1"/>
  <c r="J60" i="39"/>
  <c r="K44" i="39"/>
  <c r="H60" i="39"/>
  <c r="D66" i="39"/>
  <c r="D65" i="39"/>
  <c r="D63" i="39"/>
  <c r="D64" i="39"/>
  <c r="H41" i="39"/>
  <c r="E61" i="39"/>
  <c r="E68" i="39" s="1"/>
  <c r="E65" i="39" s="1"/>
  <c r="J15" i="39"/>
  <c r="J40" i="39" s="1"/>
  <c r="J46" i="39"/>
  <c r="K46" i="39" s="1"/>
  <c r="O15" i="39"/>
  <c r="O38" i="39"/>
  <c r="Q15" i="39"/>
  <c r="J20" i="39"/>
  <c r="O22" i="39"/>
  <c r="J29" i="39"/>
  <c r="I40" i="39"/>
  <c r="Q46" i="39"/>
  <c r="O8" i="39"/>
  <c r="T15" i="39"/>
  <c r="O36" i="39"/>
  <c r="Q8" i="39"/>
  <c r="O20" i="39"/>
  <c r="I60" i="39"/>
  <c r="Q20" i="39"/>
  <c r="O27" i="39"/>
  <c r="O7" i="39"/>
  <c r="J16" i="39"/>
  <c r="O25" i="39"/>
  <c r="Q7" i="39"/>
  <c r="O14" i="39"/>
  <c r="K16" i="39"/>
  <c r="O18" i="39"/>
  <c r="O23" i="39"/>
  <c r="J34" i="39"/>
  <c r="J37" i="39"/>
  <c r="Q39" i="39"/>
  <c r="O45" i="39"/>
  <c r="Q47" i="39"/>
  <c r="O56" i="39"/>
  <c r="O17" i="39"/>
  <c r="O44" i="39"/>
  <c r="J27" i="39"/>
  <c r="L7" i="39"/>
  <c r="O29" i="39"/>
  <c r="O49" i="39"/>
  <c r="O51" i="39"/>
  <c r="K18" i="39"/>
  <c r="O16" i="39"/>
  <c r="J28" i="39"/>
  <c r="K34" i="39"/>
  <c r="K37" i="39"/>
  <c r="K40" i="39" s="1"/>
  <c r="O54" i="39"/>
  <c r="K17" i="39"/>
  <c r="Q44" i="39"/>
  <c r="J51" i="39"/>
  <c r="K51" i="39" s="1"/>
  <c r="J25" i="39"/>
  <c r="C61" i="39"/>
  <c r="C64" i="39" s="1"/>
  <c r="E4757" i="91"/>
  <c r="C2105" i="3" s="1"/>
  <c r="E1466" i="3"/>
  <c r="E1518" i="3"/>
  <c r="E2131" i="3"/>
  <c r="E10" i="4"/>
  <c r="D768" i="3"/>
  <c r="D793" i="3"/>
  <c r="D811" i="3"/>
  <c r="D814" i="3" s="1"/>
  <c r="D684" i="3" s="1"/>
  <c r="D1573" i="3"/>
  <c r="D1716" i="3"/>
  <c r="D1897" i="3"/>
  <c r="C2158" i="3"/>
  <c r="C2117" i="3" s="1"/>
  <c r="D135" i="4"/>
  <c r="D141" i="4" s="1"/>
  <c r="D10" i="4"/>
  <c r="D101" i="3"/>
  <c r="D159" i="3"/>
  <c r="E811" i="3"/>
  <c r="D915" i="3"/>
  <c r="D1103" i="3"/>
  <c r="E1573" i="3"/>
  <c r="E1716" i="3"/>
  <c r="D2158" i="3"/>
  <c r="D2117" i="3" s="1"/>
  <c r="E1316" i="3"/>
  <c r="C1904" i="3"/>
  <c r="C1803" i="3" s="1"/>
  <c r="C1804" i="3" s="1"/>
  <c r="E101" i="3"/>
  <c r="D131" i="3"/>
  <c r="D448" i="3"/>
  <c r="D529" i="3"/>
  <c r="E2158" i="3"/>
  <c r="E2117" i="3" s="1"/>
  <c r="D2081" i="3"/>
  <c r="E1901" i="3"/>
  <c r="E1904" i="3" s="1"/>
  <c r="E1803" i="3" s="1"/>
  <c r="E1804" i="3" s="1"/>
  <c r="D118" i="3"/>
  <c r="D1493" i="3"/>
  <c r="D2146" i="3"/>
  <c r="D2116" i="3" s="1"/>
  <c r="D1936" i="3"/>
  <c r="D19" i="8"/>
  <c r="D254" i="3"/>
  <c r="E77" i="3"/>
  <c r="D1818" i="3"/>
  <c r="D105" i="3"/>
  <c r="D108" i="3" s="1"/>
  <c r="D13" i="3" s="1"/>
  <c r="D14" i="3" s="1"/>
  <c r="D434" i="3"/>
  <c r="D853" i="3"/>
  <c r="D1198" i="3"/>
  <c r="E174" i="3"/>
  <c r="E173" i="3" s="1"/>
  <c r="D2131" i="3"/>
  <c r="E529" i="3"/>
  <c r="D1558" i="3"/>
  <c r="C2118" i="3"/>
  <c r="D518" i="3"/>
  <c r="D1730" i="3"/>
  <c r="D201" i="3"/>
  <c r="E434" i="3"/>
  <c r="D418" i="3"/>
  <c r="D720" i="3"/>
  <c r="D772" i="3"/>
  <c r="D775" i="3" s="1"/>
  <c r="D683" i="3" s="1"/>
  <c r="D797" i="3"/>
  <c r="D800" i="3" s="1"/>
  <c r="D1480" i="3"/>
  <c r="C26" i="8"/>
  <c r="E720" i="3"/>
  <c r="D879" i="3"/>
  <c r="D903" i="3"/>
  <c r="D1090" i="3"/>
  <c r="E1480" i="3"/>
  <c r="D1518" i="3"/>
  <c r="D1646" i="3"/>
  <c r="D1901" i="3"/>
  <c r="D1904" i="3" s="1"/>
  <c r="D1803" i="3" s="1"/>
  <c r="D1804" i="3" s="1"/>
  <c r="D2128" i="3"/>
  <c r="E1933" i="3"/>
  <c r="AQ19" i="92"/>
  <c r="E707" i="3"/>
  <c r="E1558" i="3"/>
  <c r="E960" i="3"/>
  <c r="E93" i="3"/>
  <c r="D91" i="3"/>
  <c r="E323" i="3"/>
  <c r="E476" i="3"/>
  <c r="E418" i="3" s="1"/>
  <c r="E769" i="3"/>
  <c r="E768" i="3" s="1"/>
  <c r="E1077" i="3"/>
  <c r="D1063" i="3"/>
  <c r="D1702" i="3"/>
  <c r="E202" i="3"/>
  <c r="E201" i="3" s="1"/>
  <c r="D601" i="3"/>
  <c r="D614" i="3"/>
  <c r="E1078" i="3"/>
  <c r="D1413" i="3"/>
  <c r="E1507" i="3"/>
  <c r="E1506" i="3" s="1"/>
  <c r="E1758" i="3"/>
  <c r="E2141" i="3"/>
  <c r="E2127" i="3" s="1"/>
  <c r="E1428" i="3"/>
  <c r="E1732" i="3"/>
  <c r="E160" i="3"/>
  <c r="E159" i="3" s="1"/>
  <c r="E1104" i="3"/>
  <c r="E1103" i="3" s="1"/>
  <c r="E794" i="3"/>
  <c r="E793" i="3" s="1"/>
  <c r="E800" i="3" s="1"/>
  <c r="D145" i="3"/>
  <c r="D51" i="3"/>
  <c r="E120" i="3"/>
  <c r="E118" i="3" s="1"/>
  <c r="E215" i="3"/>
  <c r="D241" i="3"/>
  <c r="D311" i="3"/>
  <c r="E973" i="3"/>
  <c r="E972" i="3" s="1"/>
  <c r="D1212" i="3"/>
  <c r="E1276" i="3"/>
  <c r="C136" i="4"/>
  <c r="E107" i="3"/>
  <c r="E2082" i="3"/>
  <c r="E2081" i="3" s="1"/>
  <c r="D19" i="92"/>
  <c r="F19" i="92" s="1"/>
  <c r="E325" i="3"/>
  <c r="E311" i="3" s="1"/>
  <c r="D323" i="3"/>
  <c r="E916" i="3"/>
  <c r="E915" i="3" s="1"/>
  <c r="E1278" i="3"/>
  <c r="E1263" i="3" s="1"/>
  <c r="E1862" i="3"/>
  <c r="E1818" i="3" s="1"/>
  <c r="E2139" i="3"/>
  <c r="E2126" i="3"/>
  <c r="E2125" i="3" s="1"/>
  <c r="E1730" i="3"/>
  <c r="C137" i="4"/>
  <c r="E137" i="4" s="1"/>
  <c r="E281" i="3"/>
  <c r="E280" i="3" s="1"/>
  <c r="D280" i="3"/>
  <c r="D960" i="3"/>
  <c r="E1200" i="3"/>
  <c r="E1198" i="3" s="1"/>
  <c r="E1368" i="3"/>
  <c r="E1367" i="3" s="1"/>
  <c r="D1367" i="3"/>
  <c r="D1933" i="3"/>
  <c r="D132" i="4"/>
  <c r="D133" i="4"/>
  <c r="E256" i="3"/>
  <c r="E254" i="3" s="1"/>
  <c r="D707" i="3"/>
  <c r="E1187" i="3"/>
  <c r="E1186" i="3" s="1"/>
  <c r="D1263" i="3"/>
  <c r="E808" i="3"/>
  <c r="E807" i="3" s="1"/>
  <c r="E1951" i="3"/>
  <c r="E1936" i="3" s="1"/>
  <c r="E19" i="8"/>
  <c r="E91" i="3"/>
  <c r="E375" i="3"/>
  <c r="D891" i="3"/>
  <c r="D1379" i="3"/>
  <c r="E1495" i="3"/>
  <c r="E1493" i="3" s="1"/>
  <c r="C2132" i="3"/>
  <c r="L19" i="92"/>
  <c r="C26" i="92"/>
  <c r="E773" i="3"/>
  <c r="E772" i="3" s="1"/>
  <c r="D664" i="3"/>
  <c r="E1091" i="3"/>
  <c r="E1090" i="3" s="1"/>
  <c r="D1453" i="3"/>
  <c r="D2130" i="3"/>
  <c r="E904" i="3"/>
  <c r="E903" i="3" s="1"/>
  <c r="E1454" i="3"/>
  <c r="E1453" i="3" s="1"/>
  <c r="E2144" i="3"/>
  <c r="D2126" i="3"/>
  <c r="D2125" i="3" s="1"/>
  <c r="E2861" i="91"/>
  <c r="F2861" i="91" s="1"/>
  <c r="G2861" i="91" s="1"/>
  <c r="E1929" i="91"/>
  <c r="F1929" i="91" s="1"/>
  <c r="G1929" i="91" s="1"/>
  <c r="F249" i="91"/>
  <c r="G249" i="91" s="1"/>
  <c r="F281" i="91"/>
  <c r="G281" i="91" s="1"/>
  <c r="E2889" i="91"/>
  <c r="F2889" i="91" s="1"/>
  <c r="G2889" i="91" s="1"/>
  <c r="E4720" i="91"/>
  <c r="C2092" i="3" s="1"/>
  <c r="E4678" i="91"/>
  <c r="C2079" i="3" s="1"/>
  <c r="E2929" i="91"/>
  <c r="F2929" i="91" s="1"/>
  <c r="G2929" i="91" s="1"/>
  <c r="E3046" i="91"/>
  <c r="F3046" i="91" s="1"/>
  <c r="G3046" i="91" s="1"/>
  <c r="E1570" i="91"/>
  <c r="E1587" i="91" s="1"/>
  <c r="E892" i="91"/>
  <c r="E852" i="91"/>
  <c r="E1168" i="91"/>
  <c r="E3666" i="91"/>
  <c r="F3666" i="91" s="1"/>
  <c r="G3666" i="91" s="1"/>
  <c r="E3761" i="91"/>
  <c r="F3761" i="91" s="1"/>
  <c r="G3761" i="91" s="1"/>
  <c r="E3094" i="91"/>
  <c r="C1353" i="3" s="1"/>
  <c r="D1353" i="3" s="1"/>
  <c r="E1353" i="3" s="1"/>
  <c r="G968" i="91"/>
  <c r="E1180" i="91"/>
  <c r="E2833" i="91"/>
  <c r="F2833" i="91" s="1"/>
  <c r="G2833" i="91" s="1"/>
  <c r="E2041" i="91"/>
  <c r="F2041" i="91" s="1"/>
  <c r="G2041" i="91" s="1"/>
  <c r="E3783" i="91"/>
  <c r="F3783" i="91" s="1"/>
  <c r="G3783" i="91" s="1"/>
  <c r="E1186" i="91"/>
  <c r="C387" i="3" s="1"/>
  <c r="D387" i="3" s="1"/>
  <c r="E387" i="3" s="1"/>
  <c r="E1905" i="91"/>
  <c r="F1905" i="91" s="1"/>
  <c r="G1905" i="91" s="1"/>
  <c r="E2171" i="91"/>
  <c r="F2171" i="91" s="1"/>
  <c r="G2171" i="91" s="1"/>
  <c r="E3839" i="91"/>
  <c r="F3839" i="91" s="1"/>
  <c r="G3839" i="91" s="1"/>
  <c r="E3085" i="91"/>
  <c r="F3085" i="91" s="1"/>
  <c r="G3085" i="91" s="1"/>
  <c r="E1895" i="91"/>
  <c r="F1895" i="91" s="1"/>
  <c r="G1895" i="91" s="1"/>
  <c r="E2896" i="91"/>
  <c r="F2896" i="91" s="1"/>
  <c r="G2896" i="91" s="1"/>
  <c r="E3801" i="91"/>
  <c r="F3801" i="91" s="1"/>
  <c r="G3801" i="91" s="1"/>
  <c r="E666" i="3"/>
  <c r="E664" i="3" s="1"/>
  <c r="E616" i="3"/>
  <c r="E601" i="3" s="1"/>
  <c r="F4108" i="91"/>
  <c r="G4108" i="91" s="1"/>
  <c r="F271" i="91"/>
  <c r="G271" i="91" s="1"/>
  <c r="E1116" i="91"/>
  <c r="E3644" i="91"/>
  <c r="F3644" i="91" s="1"/>
  <c r="G3644" i="91" s="1"/>
  <c r="E3807" i="91"/>
  <c r="F3807" i="91" s="1"/>
  <c r="G3807" i="91" s="1"/>
  <c r="E2837" i="91"/>
  <c r="F2837" i="91" s="1"/>
  <c r="G2837" i="91" s="1"/>
  <c r="E3402" i="91"/>
  <c r="F3402" i="91" s="1"/>
  <c r="G3402" i="91" s="1"/>
  <c r="E884" i="91"/>
  <c r="F1491" i="91"/>
  <c r="E1976" i="91"/>
  <c r="E1978" i="91" s="1"/>
  <c r="E1979" i="91" s="1"/>
  <c r="F1979" i="91" s="1"/>
  <c r="G1979" i="91" s="1"/>
  <c r="E3051" i="91"/>
  <c r="C1339" i="3" s="1"/>
  <c r="D1339" i="3" s="1"/>
  <c r="E1339" i="3" s="1"/>
  <c r="E3128" i="91"/>
  <c r="F3128" i="91" s="1"/>
  <c r="G3128" i="91" s="1"/>
  <c r="E3791" i="91"/>
  <c r="F3791" i="91" s="1"/>
  <c r="G3791" i="91" s="1"/>
  <c r="F11" i="91"/>
  <c r="G11" i="91" s="1"/>
  <c r="E1932" i="91"/>
  <c r="F1932" i="91" s="1"/>
  <c r="G1932" i="91" s="1"/>
  <c r="E2829" i="91"/>
  <c r="F2829" i="91" s="1"/>
  <c r="G2829" i="91" s="1"/>
  <c r="F4616" i="91"/>
  <c r="G4616" i="91" s="1"/>
  <c r="F4643" i="91"/>
  <c r="G4643" i="91" s="1"/>
  <c r="F4667" i="91"/>
  <c r="G4667" i="91" s="1"/>
  <c r="F4712" i="91"/>
  <c r="G4712" i="91" s="1"/>
  <c r="F4625" i="91"/>
  <c r="G4625" i="91" s="1"/>
  <c r="F4591" i="91"/>
  <c r="G4591" i="91" s="1"/>
  <c r="F4641" i="91"/>
  <c r="G4641" i="91" s="1"/>
  <c r="F4627" i="91"/>
  <c r="G4627" i="91" s="1"/>
  <c r="F4665" i="91"/>
  <c r="G4665" i="91" s="1"/>
  <c r="F4710" i="91"/>
  <c r="G4710" i="91" s="1"/>
  <c r="F4588" i="91"/>
  <c r="G4588" i="91" s="1"/>
  <c r="F4661" i="91"/>
  <c r="G4661" i="91" s="1"/>
  <c r="F4706" i="91"/>
  <c r="G4706" i="91" s="1"/>
  <c r="F4749" i="91"/>
  <c r="G4749" i="91" s="1"/>
  <c r="F4613" i="91"/>
  <c r="G4613" i="91" s="1"/>
  <c r="F4685" i="91"/>
  <c r="G4685" i="91" s="1"/>
  <c r="F4751" i="91"/>
  <c r="G4751" i="91" s="1"/>
  <c r="F4603" i="91"/>
  <c r="G4603" i="91" s="1"/>
  <c r="F4728" i="91"/>
  <c r="G4728" i="91" s="1"/>
  <c r="F4674" i="91"/>
  <c r="G4674" i="91" s="1"/>
  <c r="F4753" i="91"/>
  <c r="G4753" i="91" s="1"/>
  <c r="F4688" i="91"/>
  <c r="G4688" i="91" s="1"/>
  <c r="F4595" i="91"/>
  <c r="G4595" i="91" s="1"/>
  <c r="F4607" i="91"/>
  <c r="G4607" i="91" s="1"/>
  <c r="F4732" i="91"/>
  <c r="G4732" i="91" s="1"/>
  <c r="F4744" i="91"/>
  <c r="G4744" i="91" s="1"/>
  <c r="F4620" i="91"/>
  <c r="G4620" i="91" s="1"/>
  <c r="F4647" i="91"/>
  <c r="G4647" i="91" s="1"/>
  <c r="F4658" i="91"/>
  <c r="G4658" i="91" s="1"/>
  <c r="F4670" i="91"/>
  <c r="G4670" i="91" s="1"/>
  <c r="F4692" i="91"/>
  <c r="G4692" i="91" s="1"/>
  <c r="F4703" i="91"/>
  <c r="G4703" i="91" s="1"/>
  <c r="F4715" i="91"/>
  <c r="G4715" i="91" s="1"/>
  <c r="C2065" i="3"/>
  <c r="D2065" i="3" s="1"/>
  <c r="F4747" i="91"/>
  <c r="G4747" i="91" s="1"/>
  <c r="F4599" i="91"/>
  <c r="G4599" i="91" s="1"/>
  <c r="F4622" i="91"/>
  <c r="G4622" i="91" s="1"/>
  <c r="F4672" i="91"/>
  <c r="G4672" i="91" s="1"/>
  <c r="F4682" i="91"/>
  <c r="G4682" i="91" s="1"/>
  <c r="F4724" i="91"/>
  <c r="G4724" i="91" s="1"/>
  <c r="F4736" i="91"/>
  <c r="G4736" i="91" s="1"/>
  <c r="F4651" i="91"/>
  <c r="G4651" i="91" s="1"/>
  <c r="F4696" i="91"/>
  <c r="G4696" i="91" s="1"/>
  <c r="F2856" i="91"/>
  <c r="G2856" i="91" s="1"/>
  <c r="F1906" i="91"/>
  <c r="G1906" i="91" s="1"/>
  <c r="E3072" i="91"/>
  <c r="F3072" i="91" s="1"/>
  <c r="G3072" i="91" s="1"/>
  <c r="F246" i="91"/>
  <c r="G246" i="91" s="1"/>
  <c r="F3123" i="91"/>
  <c r="G3123" i="91" s="1"/>
  <c r="E3253" i="91"/>
  <c r="F3253" i="91" s="1"/>
  <c r="G3253" i="91" s="1"/>
  <c r="E1127" i="91"/>
  <c r="C374" i="3" s="1"/>
  <c r="D374" i="3" s="1"/>
  <c r="E374" i="3" s="1"/>
  <c r="E1926" i="91"/>
  <c r="F1926" i="91" s="1"/>
  <c r="G1926" i="91" s="1"/>
  <c r="E2924" i="91"/>
  <c r="F2924" i="91" s="1"/>
  <c r="G2924" i="91" s="1"/>
  <c r="F104" i="91"/>
  <c r="G104" i="91" s="1"/>
  <c r="E1109" i="91"/>
  <c r="E1908" i="91"/>
  <c r="F1908" i="91" s="1"/>
  <c r="G1908" i="91" s="1"/>
  <c r="E1917" i="91"/>
  <c r="F1917" i="91" s="1"/>
  <c r="G1917" i="91" s="1"/>
  <c r="E2087" i="91"/>
  <c r="F2087" i="91" s="1"/>
  <c r="G2087" i="91" s="1"/>
  <c r="E2419" i="91"/>
  <c r="F2419" i="91" s="1"/>
  <c r="G2419" i="91" s="1"/>
  <c r="F858" i="91"/>
  <c r="G858" i="91" s="1"/>
  <c r="F872" i="91"/>
  <c r="G872" i="91" s="1"/>
  <c r="F73" i="91"/>
  <c r="G73" i="91" s="1"/>
  <c r="F279" i="91"/>
  <c r="G279" i="91" s="1"/>
  <c r="F287" i="91"/>
  <c r="G287" i="91" s="1"/>
  <c r="F640" i="91"/>
  <c r="G640" i="91" s="1"/>
  <c r="E861" i="91"/>
  <c r="E2072" i="91"/>
  <c r="F2072" i="91" s="1"/>
  <c r="G2072" i="91" s="1"/>
  <c r="E2141" i="91"/>
  <c r="F2141" i="91" s="1"/>
  <c r="G2141" i="91" s="1"/>
  <c r="F2997" i="91"/>
  <c r="G2997" i="91" s="1"/>
  <c r="F3254" i="91"/>
  <c r="G3254" i="91" s="1"/>
  <c r="F3597" i="91"/>
  <c r="G3597" i="91" s="1"/>
  <c r="F311" i="91"/>
  <c r="G311" i="91" s="1"/>
  <c r="E2199" i="91"/>
  <c r="C928" i="3" s="1"/>
  <c r="D928" i="3" s="1"/>
  <c r="E928" i="3" s="1"/>
  <c r="E2187" i="91"/>
  <c r="F2187" i="91" s="1"/>
  <c r="G2187" i="91" s="1"/>
  <c r="E2196" i="91"/>
  <c r="F2196" i="91" s="1"/>
  <c r="G2196" i="91" s="1"/>
  <c r="E3755" i="91"/>
  <c r="F3755" i="91" s="1"/>
  <c r="G3755" i="91" s="1"/>
  <c r="F327" i="91"/>
  <c r="G327" i="91" s="1"/>
  <c r="F46" i="91"/>
  <c r="G46" i="91" s="1"/>
  <c r="F888" i="91"/>
  <c r="G888" i="91" s="1"/>
  <c r="G887" i="91" s="1"/>
  <c r="E1122" i="91"/>
  <c r="E1983" i="91"/>
  <c r="F1983" i="91" s="1"/>
  <c r="G1983" i="91" s="1"/>
  <c r="E2180" i="91"/>
  <c r="F2180" i="91" s="1"/>
  <c r="G2180" i="91" s="1"/>
  <c r="F3200" i="91"/>
  <c r="G3200" i="91" s="1"/>
  <c r="F844" i="91"/>
  <c r="G844" i="91" s="1"/>
  <c r="G843" i="91" s="1"/>
  <c r="F136" i="91"/>
  <c r="G136" i="91" s="1"/>
  <c r="G1504" i="91"/>
  <c r="E1911" i="91"/>
  <c r="F1911" i="91" s="1"/>
  <c r="G1911" i="91" s="1"/>
  <c r="E1924" i="91"/>
  <c r="F1924" i="91" s="1"/>
  <c r="G1924" i="91" s="1"/>
  <c r="F1962" i="91"/>
  <c r="G1962" i="91" s="1"/>
  <c r="E2883" i="91"/>
  <c r="F2883" i="91" s="1"/>
  <c r="G2883" i="91" s="1"/>
  <c r="E3000" i="91"/>
  <c r="F3000" i="91" s="1"/>
  <c r="G3000" i="91" s="1"/>
  <c r="E3131" i="91"/>
  <c r="F3131" i="91" s="1"/>
  <c r="G3131" i="91" s="1"/>
  <c r="E3198" i="91"/>
  <c r="F1596" i="91"/>
  <c r="F1184" i="91"/>
  <c r="F2466" i="91"/>
  <c r="G2466" i="91" s="1"/>
  <c r="E2475" i="91"/>
  <c r="F51" i="91"/>
  <c r="G51" i="91" s="1"/>
  <c r="F1945" i="91"/>
  <c r="G1945" i="91" s="1"/>
  <c r="F2922" i="91"/>
  <c r="G2922" i="91" s="1"/>
  <c r="F3171" i="91"/>
  <c r="G3171" i="91" s="1"/>
  <c r="F3665" i="91"/>
  <c r="G3665" i="91" s="1"/>
  <c r="F2026" i="91"/>
  <c r="G2026" i="91" s="1"/>
  <c r="E3124" i="91"/>
  <c r="F3124" i="91" s="1"/>
  <c r="G3124" i="91" s="1"/>
  <c r="F3304" i="91"/>
  <c r="G3304" i="91" s="1"/>
  <c r="E2130" i="91"/>
  <c r="F2130" i="91" s="1"/>
  <c r="G2130" i="91" s="1"/>
  <c r="F3077" i="91"/>
  <c r="G3077" i="91" s="1"/>
  <c r="F266" i="91"/>
  <c r="G266" i="91" s="1"/>
  <c r="F885" i="91"/>
  <c r="G885" i="91" s="1"/>
  <c r="G884" i="91" s="1"/>
  <c r="E1086" i="91"/>
  <c r="E1175" i="91"/>
  <c r="F1452" i="91"/>
  <c r="F1918" i="91"/>
  <c r="G1918" i="91" s="1"/>
  <c r="E1958" i="91"/>
  <c r="F1958" i="91" s="1"/>
  <c r="G1958" i="91" s="1"/>
  <c r="E3205" i="91"/>
  <c r="F3205" i="91" s="1"/>
  <c r="G3205" i="91" s="1"/>
  <c r="F2972" i="91"/>
  <c r="G2972" i="91" s="1"/>
  <c r="F3335" i="91"/>
  <c r="G3335" i="91" s="1"/>
  <c r="E2849" i="91"/>
  <c r="F2849" i="91" s="1"/>
  <c r="G2849" i="91" s="1"/>
  <c r="E1154" i="91"/>
  <c r="F3346" i="91"/>
  <c r="G3346" i="91" s="1"/>
  <c r="F31" i="91"/>
  <c r="G31" i="91" s="1"/>
  <c r="F251" i="91"/>
  <c r="G251" i="91" s="1"/>
  <c r="E453" i="91"/>
  <c r="F453" i="91" s="1"/>
  <c r="G453" i="91" s="1"/>
  <c r="E477" i="91"/>
  <c r="F477" i="91" s="1"/>
  <c r="G477" i="91" s="1"/>
  <c r="F2968" i="91"/>
  <c r="G2968" i="91" s="1"/>
  <c r="E3065" i="91"/>
  <c r="F3065" i="91" s="1"/>
  <c r="G3065" i="91" s="1"/>
  <c r="E3087" i="91"/>
  <c r="F3087" i="91" s="1"/>
  <c r="G3087" i="91" s="1"/>
  <c r="E3374" i="91"/>
  <c r="F3374" i="91" s="1"/>
  <c r="G3374" i="91" s="1"/>
  <c r="F3202" i="91"/>
  <c r="G3202" i="91" s="1"/>
  <c r="F3589" i="91"/>
  <c r="G3589" i="91" s="1"/>
  <c r="F1173" i="91"/>
  <c r="G1173" i="91" s="1"/>
  <c r="G1172" i="91" s="1"/>
  <c r="F843" i="91"/>
  <c r="F1132" i="91"/>
  <c r="G1132" i="91" s="1"/>
  <c r="G1131" i="91" s="1"/>
  <c r="E1162" i="91"/>
  <c r="E1934" i="91"/>
  <c r="C719" i="3" s="1"/>
  <c r="D719" i="3" s="1"/>
  <c r="E2030" i="91"/>
  <c r="F2030" i="91" s="1"/>
  <c r="G2030" i="91" s="1"/>
  <c r="E2165" i="91"/>
  <c r="F2165" i="91" s="1"/>
  <c r="G2165" i="91" s="1"/>
  <c r="F3206" i="91"/>
  <c r="G3206" i="91" s="1"/>
  <c r="F3240" i="91"/>
  <c r="G3240" i="91" s="1"/>
  <c r="E3301" i="91"/>
  <c r="F3301" i="91" s="1"/>
  <c r="G3301" i="91" s="1"/>
  <c r="F3316" i="91"/>
  <c r="G3316" i="91" s="1"/>
  <c r="E3349" i="91"/>
  <c r="F12" i="91"/>
  <c r="G12" i="91" s="1"/>
  <c r="F890" i="91"/>
  <c r="G890" i="91" s="1"/>
  <c r="G889" i="91" s="1"/>
  <c r="F2086" i="91"/>
  <c r="G2086" i="91" s="1"/>
  <c r="F3052" i="91"/>
  <c r="G3052" i="91" s="1"/>
  <c r="F4048" i="91"/>
  <c r="G4048" i="91" s="1"/>
  <c r="F3312" i="91"/>
  <c r="G3312" i="91" s="1"/>
  <c r="F3031" i="91"/>
  <c r="G3031" i="91" s="1"/>
  <c r="F3111" i="91"/>
  <c r="G3111" i="91" s="1"/>
  <c r="E1142" i="91"/>
  <c r="E2111" i="91"/>
  <c r="F2111" i="91" s="1"/>
  <c r="G2111" i="91" s="1"/>
  <c r="E2145" i="91"/>
  <c r="E2191" i="91"/>
  <c r="F2191" i="91" s="1"/>
  <c r="G2191" i="91" s="1"/>
  <c r="E2424" i="91"/>
  <c r="F2424" i="91" s="1"/>
  <c r="G2424" i="91" s="1"/>
  <c r="E3170" i="91"/>
  <c r="E3201" i="91"/>
  <c r="F3201" i="91" s="1"/>
  <c r="G3201" i="91" s="1"/>
  <c r="E3334" i="91"/>
  <c r="E3646" i="91"/>
  <c r="F3646" i="91" s="1"/>
  <c r="G3646" i="91" s="1"/>
  <c r="E3713" i="91"/>
  <c r="E3717" i="91" s="1"/>
  <c r="F3717" i="91" s="1"/>
  <c r="G3717" i="91" s="1"/>
  <c r="E3765" i="91"/>
  <c r="C1645" i="3" s="1"/>
  <c r="D1645" i="3" s="1"/>
  <c r="E1645" i="3" s="1"/>
  <c r="F3100" i="91"/>
  <c r="G3100" i="91" s="1"/>
  <c r="E3104" i="91"/>
  <c r="F3104" i="91" s="1"/>
  <c r="E3861" i="91"/>
  <c r="F3861" i="91" s="1"/>
  <c r="G3861" i="91" s="1"/>
  <c r="F3862" i="91"/>
  <c r="G3862" i="91" s="1"/>
  <c r="C117" i="3"/>
  <c r="D117" i="3" s="1"/>
  <c r="E117" i="3" s="1"/>
  <c r="F201" i="91"/>
  <c r="G201" i="91" s="1"/>
  <c r="E1103" i="91"/>
  <c r="F1104" i="91"/>
  <c r="G1104" i="91" s="1"/>
  <c r="G1103" i="91" s="1"/>
  <c r="F2071" i="91"/>
  <c r="G2071" i="91" s="1"/>
  <c r="E2068" i="91"/>
  <c r="F2068" i="91" s="1"/>
  <c r="G2068" i="91" s="1"/>
  <c r="E3625" i="91"/>
  <c r="F3625" i="91" s="1"/>
  <c r="G3625" i="91" s="1"/>
  <c r="F3626" i="91"/>
  <c r="G3626" i="91" s="1"/>
  <c r="E3752" i="91"/>
  <c r="F3752" i="91" s="1"/>
  <c r="G3752" i="91" s="1"/>
  <c r="F3753" i="91"/>
  <c r="G3753" i="91" s="1"/>
  <c r="E1347" i="91"/>
  <c r="F1347" i="91" s="1"/>
  <c r="G1347" i="91" s="1"/>
  <c r="F1348" i="91"/>
  <c r="G1348" i="91" s="1"/>
  <c r="G1571" i="91"/>
  <c r="G1570" i="91" s="1"/>
  <c r="F1570" i="91"/>
  <c r="F2844" i="91"/>
  <c r="G2844" i="91" s="1"/>
  <c r="E2841" i="91"/>
  <c r="F2841" i="91" s="1"/>
  <c r="G2841" i="91" s="1"/>
  <c r="F3190" i="91"/>
  <c r="G3190" i="91" s="1"/>
  <c r="F626" i="91"/>
  <c r="G626" i="91" s="1"/>
  <c r="E623" i="91"/>
  <c r="F623" i="91" s="1"/>
  <c r="G623" i="91" s="1"/>
  <c r="F66" i="91"/>
  <c r="G66" i="91" s="1"/>
  <c r="E2820" i="91"/>
  <c r="C1273" i="3" s="1"/>
  <c r="F2821" i="91"/>
  <c r="G2821" i="91" s="1"/>
  <c r="E2891" i="91"/>
  <c r="F2891" i="91" s="1"/>
  <c r="G2891" i="91" s="1"/>
  <c r="F2892" i="91"/>
  <c r="G2892" i="91" s="1"/>
  <c r="E3830" i="91"/>
  <c r="F3830" i="91" s="1"/>
  <c r="G3830" i="91" s="1"/>
  <c r="F3831" i="91"/>
  <c r="G3831" i="91" s="1"/>
  <c r="E677" i="91"/>
  <c r="F677" i="91" s="1"/>
  <c r="G677" i="91" s="1"/>
  <c r="F680" i="91"/>
  <c r="G680" i="91" s="1"/>
  <c r="E1091" i="91"/>
  <c r="F1099" i="91"/>
  <c r="G1099" i="91" s="1"/>
  <c r="G1095" i="91" s="1"/>
  <c r="E1095" i="91"/>
  <c r="E3079" i="91"/>
  <c r="F3079" i="91" s="1"/>
  <c r="G3079" i="91" s="1"/>
  <c r="F3080" i="91"/>
  <c r="G3080" i="91" s="1"/>
  <c r="E3113" i="91"/>
  <c r="F3113" i="91" s="1"/>
  <c r="G3113" i="91" s="1"/>
  <c r="F3114" i="91"/>
  <c r="G3114" i="91" s="1"/>
  <c r="E3659" i="91"/>
  <c r="F3659" i="91" s="1"/>
  <c r="G3659" i="91" s="1"/>
  <c r="F3662" i="91"/>
  <c r="G3662" i="91" s="1"/>
  <c r="E3019" i="91"/>
  <c r="F3019" i="91" s="1"/>
  <c r="G3019" i="91" s="1"/>
  <c r="F3020" i="91"/>
  <c r="G3020" i="91" s="1"/>
  <c r="E1150" i="91"/>
  <c r="E2969" i="91"/>
  <c r="F2969" i="91" s="1"/>
  <c r="G2969" i="91" s="1"/>
  <c r="F2970" i="91"/>
  <c r="G2970" i="91" s="1"/>
  <c r="E3154" i="91"/>
  <c r="E3156" i="91" s="1"/>
  <c r="F3155" i="91"/>
  <c r="G3155" i="91" s="1"/>
  <c r="F3275" i="91"/>
  <c r="G3275" i="91" s="1"/>
  <c r="E3273" i="91"/>
  <c r="F3273" i="91" s="1"/>
  <c r="G3273" i="91" s="1"/>
  <c r="E3821" i="91"/>
  <c r="F3821" i="91" s="1"/>
  <c r="G3821" i="91" s="1"/>
  <c r="F3822" i="91"/>
  <c r="G3822" i="91" s="1"/>
  <c r="E3255" i="91"/>
  <c r="F3258" i="91"/>
  <c r="G3258" i="91" s="1"/>
  <c r="E874" i="91"/>
  <c r="F875" i="91"/>
  <c r="G875" i="91" s="1"/>
  <c r="E1119" i="91"/>
  <c r="F1121" i="91"/>
  <c r="G1121" i="91" s="1"/>
  <c r="G1119" i="91" s="1"/>
  <c r="F1179" i="91"/>
  <c r="G1179" i="91" s="1"/>
  <c r="G1177" i="91" s="1"/>
  <c r="E1177" i="91"/>
  <c r="F193" i="91"/>
  <c r="G193" i="91" s="1"/>
  <c r="F273" i="91"/>
  <c r="G273" i="91" s="1"/>
  <c r="F276" i="91"/>
  <c r="G276" i="91" s="1"/>
  <c r="E371" i="91"/>
  <c r="F371" i="91" s="1"/>
  <c r="G371" i="91" s="1"/>
  <c r="F373" i="91"/>
  <c r="G373" i="91" s="1"/>
  <c r="E880" i="91"/>
  <c r="F881" i="91"/>
  <c r="G881" i="91" s="1"/>
  <c r="E1897" i="91"/>
  <c r="F1897" i="91" s="1"/>
  <c r="G1897" i="91" s="1"/>
  <c r="F1899" i="91"/>
  <c r="G1899" i="91" s="1"/>
  <c r="E2047" i="91"/>
  <c r="F2047" i="91" s="1"/>
  <c r="G2047" i="91" s="1"/>
  <c r="F2048" i="91"/>
  <c r="G2048" i="91" s="1"/>
  <c r="F2872" i="91"/>
  <c r="G2872" i="91" s="1"/>
  <c r="E2869" i="91"/>
  <c r="F2869" i="91" s="1"/>
  <c r="G2869" i="91" s="1"/>
  <c r="E3317" i="91"/>
  <c r="F3317" i="91" s="1"/>
  <c r="G3317" i="91" s="1"/>
  <c r="F3318" i="91"/>
  <c r="G3318" i="91" s="1"/>
  <c r="E3972" i="91"/>
  <c r="F3972" i="91" s="1"/>
  <c r="G3972" i="91" s="1"/>
  <c r="F3974" i="91"/>
  <c r="G3974" i="91" s="1"/>
  <c r="F1149" i="91"/>
  <c r="G1149" i="91" s="1"/>
  <c r="F2133" i="91"/>
  <c r="G2133" i="91" s="1"/>
  <c r="F2851" i="91"/>
  <c r="G2851" i="91" s="1"/>
  <c r="F3075" i="91"/>
  <c r="G3075" i="91" s="1"/>
  <c r="F61" i="91"/>
  <c r="G61" i="91" s="1"/>
  <c r="F91" i="91"/>
  <c r="G91" i="91" s="1"/>
  <c r="F147" i="91"/>
  <c r="G147" i="91" s="1"/>
  <c r="F253" i="91"/>
  <c r="G253" i="91" s="1"/>
  <c r="F277" i="91"/>
  <c r="G277" i="91" s="1"/>
  <c r="F1066" i="91"/>
  <c r="G1066" i="91" s="1"/>
  <c r="E1193" i="91"/>
  <c r="E1200" i="91" s="1"/>
  <c r="C389" i="3" s="1"/>
  <c r="G1452" i="91"/>
  <c r="F1915" i="91"/>
  <c r="G1915" i="91" s="1"/>
  <c r="E1920" i="91"/>
  <c r="F1920" i="91" s="1"/>
  <c r="G1920" i="91" s="1"/>
  <c r="F2037" i="91"/>
  <c r="G2037" i="91" s="1"/>
  <c r="E3239" i="91"/>
  <c r="F3239" i="91" s="1"/>
  <c r="G3239" i="91" s="1"/>
  <c r="F3302" i="91"/>
  <c r="G3302" i="91" s="1"/>
  <c r="E3314" i="91"/>
  <c r="F3319" i="91"/>
  <c r="G3319" i="91" s="1"/>
  <c r="E3343" i="91"/>
  <c r="E3448" i="91"/>
  <c r="F3448" i="91" s="1"/>
  <c r="G3448" i="91" s="1"/>
  <c r="E3581" i="91"/>
  <c r="F3581" i="91" s="1"/>
  <c r="G3581" i="91" s="1"/>
  <c r="E3789" i="91"/>
  <c r="F3789" i="91" s="1"/>
  <c r="G3789" i="91" s="1"/>
  <c r="E3976" i="91"/>
  <c r="F3976" i="91" s="1"/>
  <c r="G3976" i="91" s="1"/>
  <c r="E4097" i="91"/>
  <c r="F4097" i="91" s="1"/>
  <c r="G4097" i="91" s="1"/>
  <c r="F2839" i="91"/>
  <c r="G2839" i="91" s="1"/>
  <c r="F3313" i="91"/>
  <c r="G3313" i="91" s="1"/>
  <c r="F3758" i="91"/>
  <c r="G3758" i="91" s="1"/>
  <c r="E1901" i="91"/>
  <c r="F1901" i="91" s="1"/>
  <c r="G1901" i="91" s="1"/>
  <c r="E2089" i="91"/>
  <c r="F2089" i="91" s="1"/>
  <c r="G2089" i="91" s="1"/>
  <c r="E2193" i="91"/>
  <c r="F2193" i="91" s="1"/>
  <c r="G2193" i="91" s="1"/>
  <c r="E2949" i="91"/>
  <c r="F2949" i="91" s="1"/>
  <c r="G2949" i="91" s="1"/>
  <c r="E2960" i="91"/>
  <c r="F2960" i="91" s="1"/>
  <c r="G2960" i="91" s="1"/>
  <c r="E3037" i="91"/>
  <c r="F3037" i="91" s="1"/>
  <c r="G3037" i="91" s="1"/>
  <c r="E3089" i="91"/>
  <c r="F3089" i="91" s="1"/>
  <c r="G3089" i="91" s="1"/>
  <c r="F2958" i="91"/>
  <c r="G2958" i="91" s="1"/>
  <c r="F70" i="91"/>
  <c r="G70" i="91" s="1"/>
  <c r="F230" i="91"/>
  <c r="G230" i="91" s="1"/>
  <c r="E575" i="91"/>
  <c r="F575" i="91" s="1"/>
  <c r="G575" i="91" s="1"/>
  <c r="E1107" i="91"/>
  <c r="E1113" i="91"/>
  <c r="E1955" i="91"/>
  <c r="F1955" i="91" s="1"/>
  <c r="G1955" i="91" s="1"/>
  <c r="E2039" i="91"/>
  <c r="F2039" i="91" s="1"/>
  <c r="G2039" i="91" s="1"/>
  <c r="E2060" i="91"/>
  <c r="F2060" i="91" s="1"/>
  <c r="G2060" i="91" s="1"/>
  <c r="E2168" i="91"/>
  <c r="F2168" i="91" s="1"/>
  <c r="G2168" i="91" s="1"/>
  <c r="E2825" i="91"/>
  <c r="F2825" i="91" s="1"/>
  <c r="G2825" i="91" s="1"/>
  <c r="E2973" i="91"/>
  <c r="F2973" i="91" s="1"/>
  <c r="G2973" i="91" s="1"/>
  <c r="E3188" i="91"/>
  <c r="F3188" i="91" s="1"/>
  <c r="G3188" i="91" s="1"/>
  <c r="F3303" i="91"/>
  <c r="G3303" i="91" s="1"/>
  <c r="E3310" i="91"/>
  <c r="F3310" i="91" s="1"/>
  <c r="G3310" i="91" s="1"/>
  <c r="F3351" i="91"/>
  <c r="G3351" i="91" s="1"/>
  <c r="E3797" i="91"/>
  <c r="F3797" i="91" s="1"/>
  <c r="G3797" i="91" s="1"/>
  <c r="F898" i="91"/>
  <c r="G898" i="91" s="1"/>
  <c r="G896" i="91" s="1"/>
  <c r="F1090" i="91"/>
  <c r="G1090" i="91" s="1"/>
  <c r="F2201" i="91"/>
  <c r="G2201" i="91" s="1"/>
  <c r="F2426" i="91"/>
  <c r="G2426" i="91" s="1"/>
  <c r="F3126" i="91"/>
  <c r="G3126" i="91" s="1"/>
  <c r="E2116" i="91"/>
  <c r="F2116" i="91" s="1"/>
  <c r="G2116" i="91" s="1"/>
  <c r="E2174" i="91"/>
  <c r="F2174" i="91" s="1"/>
  <c r="G2174" i="91" s="1"/>
  <c r="E3068" i="91"/>
  <c r="F3068" i="91" s="1"/>
  <c r="G3068" i="91" s="1"/>
  <c r="F3450" i="91"/>
  <c r="G3450" i="91" s="1"/>
  <c r="F2909" i="91"/>
  <c r="G2909" i="91" s="1"/>
  <c r="F3189" i="91"/>
  <c r="G3189" i="91" s="1"/>
  <c r="G1020" i="91"/>
  <c r="C2067" i="3"/>
  <c r="D2067" i="3" s="1"/>
  <c r="F993" i="91"/>
  <c r="F3231" i="91"/>
  <c r="G3231" i="91" s="1"/>
  <c r="F3285" i="91"/>
  <c r="G3285" i="91" s="1"/>
  <c r="F3214" i="91"/>
  <c r="G3214" i="91" s="1"/>
  <c r="F3247" i="91"/>
  <c r="G3247" i="91" s="1"/>
  <c r="F3271" i="91"/>
  <c r="G3271" i="91" s="1"/>
  <c r="F3415" i="91"/>
  <c r="G3415" i="91" s="1"/>
  <c r="F3279" i="91"/>
  <c r="G3279" i="91" s="1"/>
  <c r="F3249" i="91"/>
  <c r="G3249" i="91" s="1"/>
  <c r="F3298" i="91"/>
  <c r="G3298" i="91" s="1"/>
  <c r="C1517" i="3"/>
  <c r="D1517" i="3" s="1"/>
  <c r="E1517" i="3" s="1"/>
  <c r="F3417" i="91"/>
  <c r="G3417" i="91" s="1"/>
  <c r="F3174" i="91"/>
  <c r="G3174" i="91" s="1"/>
  <c r="F3277" i="91"/>
  <c r="G3277" i="91" s="1"/>
  <c r="F3328" i="91"/>
  <c r="G3328" i="91" s="1"/>
  <c r="F3207" i="91"/>
  <c r="G3207" i="91" s="1"/>
  <c r="F3262" i="91"/>
  <c r="G3262" i="91" s="1"/>
  <c r="F3321" i="91"/>
  <c r="G3321" i="91" s="1"/>
  <c r="F3457" i="91"/>
  <c r="G3457" i="91" s="1"/>
  <c r="F3425" i="91"/>
  <c r="G3425" i="91" s="1"/>
  <c r="F3218" i="91"/>
  <c r="G3218" i="91" s="1"/>
  <c r="F3243" i="91"/>
  <c r="G3243" i="91" s="1"/>
  <c r="F3282" i="91"/>
  <c r="G3282" i="91" s="1"/>
  <c r="F3324" i="91"/>
  <c r="G3324" i="91" s="1"/>
  <c r="F3347" i="91"/>
  <c r="G3347" i="91" s="1"/>
  <c r="F3430" i="91"/>
  <c r="G3430" i="91" s="1"/>
  <c r="F3172" i="91"/>
  <c r="G3172" i="91" s="1"/>
  <c r="F3352" i="91"/>
  <c r="G3352" i="91" s="1"/>
  <c r="F1083" i="91"/>
  <c r="F3229" i="91"/>
  <c r="G3229" i="91" s="1"/>
  <c r="F3306" i="91"/>
  <c r="G3306" i="91" s="1"/>
  <c r="F3341" i="91"/>
  <c r="G3341" i="91" s="1"/>
  <c r="F3436" i="91"/>
  <c r="G3436" i="91" s="1"/>
  <c r="F3186" i="91"/>
  <c r="G3186" i="91" s="1"/>
  <c r="F3233" i="91"/>
  <c r="G3233" i="91" s="1"/>
  <c r="C1452" i="3"/>
  <c r="D1452" i="3" s="1"/>
  <c r="E1452" i="3" s="1"/>
  <c r="F3288" i="91"/>
  <c r="G3288" i="91" s="1"/>
  <c r="F3330" i="91"/>
  <c r="G3330" i="91" s="1"/>
  <c r="F3433" i="91"/>
  <c r="G3433" i="91" s="1"/>
  <c r="G1046" i="91"/>
  <c r="F3177" i="91"/>
  <c r="G3177" i="91" s="1"/>
  <c r="F3259" i="91"/>
  <c r="G3259" i="91" s="1"/>
  <c r="C1492" i="3"/>
  <c r="D1492" i="3" s="1"/>
  <c r="E1492" i="3" s="1"/>
  <c r="F3356" i="91"/>
  <c r="G3356" i="91" s="1"/>
  <c r="F3192" i="91"/>
  <c r="G3192" i="91" s="1"/>
  <c r="F3209" i="91"/>
  <c r="G3209" i="91" s="1"/>
  <c r="F3181" i="91"/>
  <c r="G3181" i="91" s="1"/>
  <c r="F3467" i="91"/>
  <c r="G3467" i="91" s="1"/>
  <c r="F3465" i="91"/>
  <c r="G3465" i="91" s="1"/>
  <c r="F3462" i="91"/>
  <c r="G3462" i="91" s="1"/>
  <c r="F3453" i="91"/>
  <c r="G3453" i="91" s="1"/>
  <c r="F3446" i="91"/>
  <c r="G3446" i="91" s="1"/>
  <c r="F3422" i="91"/>
  <c r="G3422" i="91" s="1"/>
  <c r="F1449" i="91"/>
  <c r="G1109" i="91"/>
  <c r="G1449" i="91"/>
  <c r="F1526" i="91"/>
  <c r="C1588" i="3"/>
  <c r="D1588" i="3" s="1"/>
  <c r="E1588" i="3" s="1"/>
  <c r="F910" i="91"/>
  <c r="F933" i="91"/>
  <c r="E2605" i="91"/>
  <c r="C1118" i="3" s="1"/>
  <c r="C1117" i="3" s="1"/>
  <c r="D72" i="4" s="1"/>
  <c r="G1127" i="91"/>
  <c r="E4401" i="91"/>
  <c r="C1950" i="3" s="1"/>
  <c r="E1946" i="91"/>
  <c r="C731" i="3" s="1"/>
  <c r="D731" i="3" s="1"/>
  <c r="G967" i="91"/>
  <c r="G966" i="91" s="1"/>
  <c r="C76" i="3"/>
  <c r="D76" i="3" s="1"/>
  <c r="E76" i="3" s="1"/>
  <c r="F1079" i="91"/>
  <c r="F1443" i="91"/>
  <c r="F1590" i="91"/>
  <c r="E4575" i="91"/>
  <c r="F4575" i="91" s="1"/>
  <c r="G4575" i="91" s="1"/>
  <c r="F4183" i="91"/>
  <c r="G4183" i="91" s="1"/>
  <c r="E2682" i="91"/>
  <c r="C1160" i="3" s="1"/>
  <c r="F1043" i="91"/>
  <c r="F1091" i="91"/>
  <c r="F1166" i="91"/>
  <c r="F1197" i="91"/>
  <c r="F1487" i="91"/>
  <c r="F1517" i="91"/>
  <c r="F1562" i="91"/>
  <c r="F1574" i="91"/>
  <c r="F3876" i="91"/>
  <c r="G3876" i="91" s="1"/>
  <c r="G1141" i="91"/>
  <c r="G1138" i="91" s="1"/>
  <c r="F1138" i="91"/>
  <c r="F1023" i="91"/>
  <c r="G1537" i="91"/>
  <c r="G1536" i="91" s="1"/>
  <c r="F4077" i="91"/>
  <c r="G4077" i="91" s="1"/>
  <c r="E4083" i="91"/>
  <c r="F4083" i="91" s="1"/>
  <c r="G4083" i="91" s="1"/>
  <c r="E830" i="91"/>
  <c r="F830" i="91" s="1"/>
  <c r="G830" i="91" s="1"/>
  <c r="F782" i="91"/>
  <c r="G782" i="91" s="1"/>
  <c r="G1115" i="91"/>
  <c r="G1113" i="91" s="1"/>
  <c r="F1113" i="91"/>
  <c r="G1466" i="91"/>
  <c r="G1465" i="91" s="1"/>
  <c r="F1465" i="91"/>
  <c r="G1579" i="91"/>
  <c r="G1578" i="91" s="1"/>
  <c r="F3360" i="91"/>
  <c r="G3360" i="91" s="1"/>
  <c r="G936" i="91"/>
  <c r="G935" i="91" s="1"/>
  <c r="F935" i="91"/>
  <c r="G1000" i="91"/>
  <c r="G999" i="91" s="1"/>
  <c r="F999" i="91"/>
  <c r="F1046" i="91"/>
  <c r="F2018" i="91"/>
  <c r="G2018" i="91" s="1"/>
  <c r="C824" i="3"/>
  <c r="D824" i="3" s="1"/>
  <c r="F3854" i="91"/>
  <c r="G3854" i="91" s="1"/>
  <c r="F1966" i="91"/>
  <c r="G1966" i="91" s="1"/>
  <c r="E1969" i="91"/>
  <c r="C747" i="3" s="1"/>
  <c r="G845" i="91"/>
  <c r="F1125" i="91"/>
  <c r="G1472" i="91"/>
  <c r="G1471" i="91" s="1"/>
  <c r="F1471" i="91"/>
  <c r="F1521" i="91"/>
  <c r="F852" i="91"/>
  <c r="F892" i="91"/>
  <c r="F1004" i="91"/>
  <c r="F1116" i="91"/>
  <c r="E1538" i="91"/>
  <c r="C544" i="3" s="1"/>
  <c r="F1610" i="91"/>
  <c r="G1610" i="91" s="1"/>
  <c r="D629" i="3"/>
  <c r="G907" i="91"/>
  <c r="E1008" i="91"/>
  <c r="C347" i="3" s="1"/>
  <c r="D347" i="3" s="1"/>
  <c r="E347" i="3" s="1"/>
  <c r="F1534" i="91"/>
  <c r="E4357" i="91"/>
  <c r="C1946" i="3" s="1"/>
  <c r="F4506" i="91"/>
  <c r="G4506" i="91" s="1"/>
  <c r="E4306" i="91"/>
  <c r="C1874" i="3" s="1"/>
  <c r="D1874" i="3" s="1"/>
  <c r="F324" i="91"/>
  <c r="G324" i="91" s="1"/>
  <c r="F1554" i="91"/>
  <c r="F4347" i="91"/>
  <c r="G4347" i="91" s="1"/>
  <c r="F4774" i="91"/>
  <c r="F1332" i="91"/>
  <c r="G1332" i="91" s="1"/>
  <c r="F1366" i="91"/>
  <c r="G1366" i="91" s="1"/>
  <c r="E1374" i="91"/>
  <c r="E1431" i="91" s="1"/>
  <c r="E1254" i="91"/>
  <c r="F1254" i="91" s="1"/>
  <c r="F2081" i="91"/>
  <c r="G2081" i="91" s="1"/>
  <c r="E2082" i="91"/>
  <c r="F2082" i="91" s="1"/>
  <c r="G2082" i="91" s="1"/>
  <c r="C841" i="3"/>
  <c r="G1187" i="91"/>
  <c r="G1186" i="91" s="1"/>
  <c r="F1186" i="91"/>
  <c r="G1092" i="91"/>
  <c r="G1091" i="91" s="1"/>
  <c r="G947" i="91"/>
  <c r="G946" i="91" s="1"/>
  <c r="F946" i="91"/>
  <c r="G1568" i="91"/>
  <c r="G1567" i="91" s="1"/>
  <c r="F1567" i="91"/>
  <c r="F2004" i="91"/>
  <c r="G2004" i="91" s="1"/>
  <c r="G1052" i="91"/>
  <c r="G1051" i="91" s="1"/>
  <c r="F1051" i="91"/>
  <c r="F1077" i="91"/>
  <c r="G1078" i="91"/>
  <c r="G1077" i="91" s="1"/>
  <c r="F1127" i="91"/>
  <c r="C489" i="3"/>
  <c r="C488" i="3" s="1"/>
  <c r="D36" i="4" s="1"/>
  <c r="G1446" i="91"/>
  <c r="G1445" i="91" s="1"/>
  <c r="F1445" i="91"/>
  <c r="F988" i="91"/>
  <c r="F996" i="91"/>
  <c r="G1002" i="91"/>
  <c r="G1001" i="91" s="1"/>
  <c r="F1001" i="91"/>
  <c r="G1050" i="91"/>
  <c r="G1049" i="91" s="1"/>
  <c r="F1049" i="91"/>
  <c r="C1156" i="3"/>
  <c r="D1156" i="3" s="1"/>
  <c r="E1156" i="3" s="1"/>
  <c r="F2658" i="91"/>
  <c r="G2658" i="91" s="1"/>
  <c r="F1122" i="91"/>
  <c r="F1440" i="91"/>
  <c r="F2120" i="91"/>
  <c r="G2120" i="91" s="1"/>
  <c r="C253" i="3"/>
  <c r="D253" i="3" s="1"/>
  <c r="E253" i="3" s="1"/>
  <c r="C1290" i="3"/>
  <c r="D1290" i="3" s="1"/>
  <c r="F1457" i="91"/>
  <c r="F861" i="91"/>
  <c r="G1004" i="91"/>
  <c r="G1023" i="91"/>
  <c r="G1532" i="91"/>
  <c r="G1531" i="91" s="1"/>
  <c r="F1531" i="91"/>
  <c r="G1555" i="91"/>
  <c r="G1554" i="91" s="1"/>
  <c r="E1618" i="91"/>
  <c r="C570" i="3" s="1"/>
  <c r="D570" i="3" s="1"/>
  <c r="E4222" i="91"/>
  <c r="C1844" i="3" s="1"/>
  <c r="C433" i="3"/>
  <c r="D433" i="3" s="1"/>
  <c r="E433" i="3" s="1"/>
  <c r="F1252" i="91"/>
  <c r="G1252" i="91" s="1"/>
  <c r="F1421" i="91"/>
  <c r="G1421" i="91" s="1"/>
  <c r="G1176" i="91"/>
  <c r="G1175" i="91" s="1"/>
  <c r="F1175" i="91"/>
  <c r="G1512" i="91"/>
  <c r="G1511" i="91" s="1"/>
  <c r="F920" i="91"/>
  <c r="F1054" i="91"/>
  <c r="G1474" i="91"/>
  <c r="G1473" i="91" s="1"/>
  <c r="F1473" i="91"/>
  <c r="F2283" i="91"/>
  <c r="G2283" i="91" s="1"/>
  <c r="C971" i="3"/>
  <c r="D971" i="3" s="1"/>
  <c r="E971" i="3" s="1"/>
  <c r="E2751" i="91"/>
  <c r="C1196" i="3" s="1"/>
  <c r="F2747" i="91"/>
  <c r="G2747" i="91" s="1"/>
  <c r="F3440" i="91"/>
  <c r="G3440" i="91" s="1"/>
  <c r="G1522" i="91"/>
  <c r="G1521" i="91" s="1"/>
  <c r="E1598" i="91"/>
  <c r="C558" i="3" s="1"/>
  <c r="C557" i="3" s="1"/>
  <c r="F1212" i="91"/>
  <c r="G1212" i="91" s="1"/>
  <c r="F4188" i="91"/>
  <c r="G4188" i="91" s="1"/>
  <c r="E4190" i="91"/>
  <c r="C1833" i="3" s="1"/>
  <c r="D1833" i="3" s="1"/>
  <c r="C265" i="3"/>
  <c r="D265" i="3" s="1"/>
  <c r="F938" i="91"/>
  <c r="D337" i="3"/>
  <c r="D336" i="3" s="1"/>
  <c r="C336" i="3"/>
  <c r="D26" i="4" s="1"/>
  <c r="F980" i="91"/>
  <c r="F1026" i="91"/>
  <c r="E2103" i="91"/>
  <c r="C864" i="3" s="1"/>
  <c r="F1477" i="91"/>
  <c r="E2599" i="91"/>
  <c r="E2285" i="91"/>
  <c r="C970" i="3" s="1"/>
  <c r="E2735" i="91"/>
  <c r="C1184" i="3" s="1"/>
  <c r="G949" i="91"/>
  <c r="F1557" i="91"/>
  <c r="C556" i="3"/>
  <c r="D556" i="3" s="1"/>
  <c r="E556" i="3" s="1"/>
  <c r="F1604" i="91"/>
  <c r="F2158" i="91"/>
  <c r="G2158" i="91" s="1"/>
  <c r="C926" i="3"/>
  <c r="D926" i="3" s="1"/>
  <c r="F2438" i="91"/>
  <c r="G2438" i="91" s="1"/>
  <c r="C985" i="3"/>
  <c r="D985" i="3" s="1"/>
  <c r="E985" i="3" s="1"/>
  <c r="F3940" i="91"/>
  <c r="G3940" i="91" s="1"/>
  <c r="E3943" i="91"/>
  <c r="E3944" i="91" s="1"/>
  <c r="F3944" i="91" s="1"/>
  <c r="G3944" i="91" s="1"/>
  <c r="F2534" i="91"/>
  <c r="G2534" i="91" s="1"/>
  <c r="E4031" i="91"/>
  <c r="C1767" i="3" s="1"/>
  <c r="E4445" i="91"/>
  <c r="C1964" i="3" s="1"/>
  <c r="F4546" i="91"/>
  <c r="G4546" i="91" s="1"/>
  <c r="E4549" i="91"/>
  <c r="F4549" i="91" s="1"/>
  <c r="G4549" i="91" s="1"/>
  <c r="E4774" i="91"/>
  <c r="E4489" i="91"/>
  <c r="F4489" i="91" s="1"/>
  <c r="G4489" i="91" s="1"/>
  <c r="E4502" i="91"/>
  <c r="E4503" i="91" s="1"/>
  <c r="E4509" i="91" s="1"/>
  <c r="F4509" i="91" s="1"/>
  <c r="G4509" i="91" s="1"/>
  <c r="F3060" i="91"/>
  <c r="G3060" i="91" s="1"/>
  <c r="E4267" i="91"/>
  <c r="C1861" i="3" s="1"/>
  <c r="D1861" i="3" s="1"/>
  <c r="F3411" i="91"/>
  <c r="G3411" i="91" s="1"/>
  <c r="C1440" i="3"/>
  <c r="D93" i="4" s="1"/>
  <c r="F2107" i="91"/>
  <c r="G2107" i="91" s="1"/>
  <c r="G917" i="91"/>
  <c r="G913" i="91" s="1"/>
  <c r="F913" i="91"/>
  <c r="F1030" i="91"/>
  <c r="G1031" i="91"/>
  <c r="G1030" i="91" s="1"/>
  <c r="F1142" i="91"/>
  <c r="G1143" i="91"/>
  <c r="G1142" i="91" s="1"/>
  <c r="D528" i="3"/>
  <c r="F1438" i="91"/>
  <c r="G1439" i="91"/>
  <c r="G1438" i="91" s="1"/>
  <c r="G1514" i="91"/>
  <c r="G1513" i="91" s="1"/>
  <c r="F1513" i="91"/>
  <c r="F2126" i="91"/>
  <c r="G2126" i="91" s="1"/>
  <c r="F285" i="91"/>
  <c r="G285" i="91" s="1"/>
  <c r="D320" i="3"/>
  <c r="C306" i="3"/>
  <c r="C596" i="3"/>
  <c r="D611" i="3"/>
  <c r="C172" i="3"/>
  <c r="D172" i="3" s="1"/>
  <c r="E172" i="3" s="1"/>
  <c r="F386" i="91"/>
  <c r="G386" i="91" s="1"/>
  <c r="E442" i="91"/>
  <c r="E551" i="91"/>
  <c r="C214" i="3"/>
  <c r="D214" i="3" s="1"/>
  <c r="E214" i="3" s="1"/>
  <c r="F548" i="91"/>
  <c r="G548" i="91" s="1"/>
  <c r="C363" i="3"/>
  <c r="G1617" i="91"/>
  <c r="G1616" i="91" s="1"/>
  <c r="F1616" i="91"/>
  <c r="F495" i="91"/>
  <c r="G495" i="91" s="1"/>
  <c r="G1171" i="91"/>
  <c r="G1168" i="91" s="1"/>
  <c r="F1168" i="91"/>
  <c r="F849" i="91"/>
  <c r="G850" i="91"/>
  <c r="G849" i="91" s="1"/>
  <c r="G1196" i="91"/>
  <c r="G1193" i="91" s="1"/>
  <c r="G1200" i="91" s="1"/>
  <c r="F1193" i="91"/>
  <c r="D359" i="3"/>
  <c r="G961" i="91"/>
  <c r="F1576" i="91"/>
  <c r="G1577" i="91"/>
  <c r="G1576" i="91" s="1"/>
  <c r="G1064" i="91"/>
  <c r="G1150" i="91"/>
  <c r="C459" i="3"/>
  <c r="D459" i="3" s="1"/>
  <c r="E459" i="3" s="1"/>
  <c r="F1327" i="91"/>
  <c r="G1327" i="91" s="1"/>
  <c r="E1329" i="91"/>
  <c r="G1486" i="91"/>
  <c r="G1485" i="91" s="1"/>
  <c r="F1485" i="91"/>
  <c r="G1549" i="91"/>
  <c r="D1073" i="3"/>
  <c r="C130" i="3"/>
  <c r="D130" i="3" s="1"/>
  <c r="E130" i="3" s="1"/>
  <c r="F236" i="91"/>
  <c r="G236" i="91" s="1"/>
  <c r="D322" i="3"/>
  <c r="D640" i="3"/>
  <c r="E640" i="3" s="1"/>
  <c r="D1570" i="3"/>
  <c r="E2784" i="91"/>
  <c r="F2780" i="91"/>
  <c r="G2780" i="91" s="1"/>
  <c r="C1211" i="3"/>
  <c r="D1211" i="3" s="1"/>
  <c r="E1211" i="3" s="1"/>
  <c r="F4440" i="91"/>
  <c r="G4440" i="91" s="1"/>
  <c r="F707" i="91"/>
  <c r="G707" i="91" s="1"/>
  <c r="G882" i="91"/>
  <c r="G1027" i="91"/>
  <c r="G1026" i="91" s="1"/>
  <c r="G1084" i="91"/>
  <c r="G1083" i="91" s="1"/>
  <c r="G1124" i="91"/>
  <c r="G1122" i="91" s="1"/>
  <c r="E1479" i="91"/>
  <c r="G1581" i="91"/>
  <c r="G1580" i="91" s="1"/>
  <c r="G1586" i="91"/>
  <c r="G1585" i="91" s="1"/>
  <c r="G1609" i="91"/>
  <c r="G1608" i="91" s="1"/>
  <c r="G1613" i="91"/>
  <c r="C1329" i="3"/>
  <c r="E4074" i="91"/>
  <c r="G853" i="91"/>
  <c r="G852" i="91" s="1"/>
  <c r="G928" i="91"/>
  <c r="G920" i="91" s="1"/>
  <c r="F975" i="91"/>
  <c r="G984" i="91"/>
  <c r="G980" i="91" s="1"/>
  <c r="G1108" i="91"/>
  <c r="G1107" i="91" s="1"/>
  <c r="F1107" i="91"/>
  <c r="F1150" i="91"/>
  <c r="F1162" i="91"/>
  <c r="F1427" i="91"/>
  <c r="G1615" i="91"/>
  <c r="G1614" i="91" s="1"/>
  <c r="E2398" i="91"/>
  <c r="E2809" i="91"/>
  <c r="F3358" i="91"/>
  <c r="G3358" i="91" s="1"/>
  <c r="F3400" i="91"/>
  <c r="G3400" i="91" s="1"/>
  <c r="C1829" i="3"/>
  <c r="E4185" i="91"/>
  <c r="F4520" i="91"/>
  <c r="G4520" i="91" s="1"/>
  <c r="F766" i="91"/>
  <c r="G766" i="91" s="1"/>
  <c r="G862" i="91"/>
  <c r="G861" i="91" s="1"/>
  <c r="G911" i="91"/>
  <c r="G910" i="91" s="1"/>
  <c r="F941" i="91"/>
  <c r="G976" i="91"/>
  <c r="G975" i="91" s="1"/>
  <c r="D372" i="3"/>
  <c r="G1137" i="91"/>
  <c r="G1136" i="91" s="1"/>
  <c r="F1180" i="91"/>
  <c r="F1462" i="91"/>
  <c r="G1463" i="91"/>
  <c r="G1462" i="91" s="1"/>
  <c r="F1498" i="91"/>
  <c r="F1507" i="91"/>
  <c r="F1545" i="91"/>
  <c r="G1559" i="91"/>
  <c r="G1557" i="91" s="1"/>
  <c r="G1591" i="91"/>
  <c r="G1590" i="91" s="1"/>
  <c r="D653" i="3"/>
  <c r="E653" i="3" s="1"/>
  <c r="C1022" i="3"/>
  <c r="D1022" i="3" s="1"/>
  <c r="E1022" i="3" s="1"/>
  <c r="F2473" i="91"/>
  <c r="G2473" i="91" s="1"/>
  <c r="E2569" i="91"/>
  <c r="D1114" i="3"/>
  <c r="F3698" i="91"/>
  <c r="G3698" i="91" s="1"/>
  <c r="E3710" i="91"/>
  <c r="E3917" i="91"/>
  <c r="E3918" i="91"/>
  <c r="F3909" i="91"/>
  <c r="G3909" i="91" s="1"/>
  <c r="F3987" i="91"/>
  <c r="G3987" i="91" s="1"/>
  <c r="C1699" i="3"/>
  <c r="D1768" i="3"/>
  <c r="E4137" i="91"/>
  <c r="F4128" i="91"/>
  <c r="G4128" i="91" s="1"/>
  <c r="F4148" i="91"/>
  <c r="G4148" i="91" s="1"/>
  <c r="F4497" i="91"/>
  <c r="G4497" i="91" s="1"/>
  <c r="C1172" i="3"/>
  <c r="D1172" i="3" s="1"/>
  <c r="E1172" i="3" s="1"/>
  <c r="E4636" i="91"/>
  <c r="F4634" i="91"/>
  <c r="G4634" i="91" s="1"/>
  <c r="F2436" i="91"/>
  <c r="G2436" i="91" s="1"/>
  <c r="F3483" i="91"/>
  <c r="G3483" i="91" s="1"/>
  <c r="E3598" i="91"/>
  <c r="F3596" i="91"/>
  <c r="G3596" i="91" s="1"/>
  <c r="F4004" i="91"/>
  <c r="G4004" i="91" s="1"/>
  <c r="F4313" i="91"/>
  <c r="G4313" i="91" s="1"/>
  <c r="E4326" i="91"/>
  <c r="G939" i="91"/>
  <c r="G938" i="91" s="1"/>
  <c r="D350" i="3"/>
  <c r="C349" i="3"/>
  <c r="D27" i="4" s="1"/>
  <c r="G1154" i="91"/>
  <c r="G1460" i="91"/>
  <c r="G1457" i="91" s="1"/>
  <c r="C826" i="3"/>
  <c r="D826" i="3" s="1"/>
  <c r="E826" i="3" s="1"/>
  <c r="F2052" i="91"/>
  <c r="G2052" i="91" s="1"/>
  <c r="F2988" i="91"/>
  <c r="G2988" i="91" s="1"/>
  <c r="F3091" i="91"/>
  <c r="G3091" i="91" s="1"/>
  <c r="F3135" i="91"/>
  <c r="G3135" i="91" s="1"/>
  <c r="C1366" i="3"/>
  <c r="D1366" i="3" s="1"/>
  <c r="E1366" i="3" s="1"/>
  <c r="E3442" i="91"/>
  <c r="F3438" i="91"/>
  <c r="G3438" i="91" s="1"/>
  <c r="C1465" i="3"/>
  <c r="D1465" i="3" s="1"/>
  <c r="E1465" i="3" s="1"/>
  <c r="F4452" i="91"/>
  <c r="G4452" i="91" s="1"/>
  <c r="E4458" i="91"/>
  <c r="E4542" i="91"/>
  <c r="F4717" i="91"/>
  <c r="G4717" i="91" s="1"/>
  <c r="D2093" i="3"/>
  <c r="E2093" i="3" s="1"/>
  <c r="C46" i="3"/>
  <c r="D60" i="3"/>
  <c r="F322" i="91"/>
  <c r="G322" i="91" s="1"/>
  <c r="F437" i="91"/>
  <c r="G437" i="91" s="1"/>
  <c r="G860" i="91"/>
  <c r="G876" i="91"/>
  <c r="G893" i="91"/>
  <c r="G892" i="91" s="1"/>
  <c r="F961" i="91"/>
  <c r="D346" i="3"/>
  <c r="G992" i="91"/>
  <c r="G988" i="91" s="1"/>
  <c r="G996" i="91"/>
  <c r="F1014" i="91"/>
  <c r="G1019" i="91"/>
  <c r="G1018" i="91" s="1"/>
  <c r="E1058" i="91"/>
  <c r="G1080" i="91"/>
  <c r="G1079" i="91" s="1"/>
  <c r="G1470" i="91"/>
  <c r="G1469" i="91" s="1"/>
  <c r="G1488" i="91"/>
  <c r="G1487" i="91" s="1"/>
  <c r="G1492" i="91"/>
  <c r="G1491" i="91" s="1"/>
  <c r="G1605" i="91"/>
  <c r="G1604" i="91" s="1"/>
  <c r="F2095" i="91"/>
  <c r="G2095" i="91" s="1"/>
  <c r="C1304" i="3"/>
  <c r="F2939" i="91"/>
  <c r="G2939" i="91" s="1"/>
  <c r="F3009" i="91"/>
  <c r="G3009" i="91" s="1"/>
  <c r="F3469" i="91"/>
  <c r="G3469" i="91" s="1"/>
  <c r="F3586" i="91"/>
  <c r="G3586" i="91" s="1"/>
  <c r="F3759" i="91"/>
  <c r="G3759" i="91" s="1"/>
  <c r="F4046" i="91"/>
  <c r="G4046" i="91" s="1"/>
  <c r="F4300" i="91"/>
  <c r="G4300" i="91" s="1"/>
  <c r="E4480" i="91"/>
  <c r="F4476" i="91"/>
  <c r="G4476" i="91" s="1"/>
  <c r="F7" i="91"/>
  <c r="G7" i="91" s="1"/>
  <c r="C227" i="3"/>
  <c r="D227" i="3" s="1"/>
  <c r="E227" i="3" s="1"/>
  <c r="C240" i="3"/>
  <c r="D240" i="3" s="1"/>
  <c r="E240" i="3" s="1"/>
  <c r="G873" i="91"/>
  <c r="D333" i="3"/>
  <c r="G919" i="91"/>
  <c r="G918" i="91" s="1"/>
  <c r="F918" i="91"/>
  <c r="E953" i="91"/>
  <c r="F949" i="91"/>
  <c r="G1055" i="91"/>
  <c r="G1054" i="91" s="1"/>
  <c r="G1118" i="91"/>
  <c r="G1116" i="91" s="1"/>
  <c r="C473" i="3"/>
  <c r="D473" i="3" s="1"/>
  <c r="E473" i="3" s="1"/>
  <c r="C487" i="3"/>
  <c r="D487" i="3" s="1"/>
  <c r="E487" i="3" s="1"/>
  <c r="E1417" i="91"/>
  <c r="F1549" i="91"/>
  <c r="C743" i="3"/>
  <c r="E2217" i="91"/>
  <c r="F2205" i="91"/>
  <c r="G2205" i="91" s="1"/>
  <c r="C969" i="3"/>
  <c r="F2229" i="91"/>
  <c r="G2229" i="91" s="1"/>
  <c r="F2278" i="91"/>
  <c r="G2278" i="91" s="1"/>
  <c r="F2486" i="91"/>
  <c r="G2486" i="91" s="1"/>
  <c r="E2627" i="91"/>
  <c r="F2610" i="91"/>
  <c r="G2610" i="91" s="1"/>
  <c r="E3012" i="91"/>
  <c r="F3012" i="91" s="1"/>
  <c r="G3012" i="91" s="1"/>
  <c r="C1427" i="3"/>
  <c r="E3475" i="91"/>
  <c r="F3224" i="91"/>
  <c r="F4205" i="91"/>
  <c r="G4205" i="91" s="1"/>
  <c r="F4230" i="91"/>
  <c r="G4230" i="91" s="1"/>
  <c r="E4232" i="91"/>
  <c r="F4250" i="91"/>
  <c r="G4250" i="91" s="1"/>
  <c r="C1859" i="3"/>
  <c r="D1859" i="3" s="1"/>
  <c r="E1859" i="3" s="1"/>
  <c r="C2001" i="3"/>
  <c r="F4522" i="91"/>
  <c r="G4522" i="91" s="1"/>
  <c r="F655" i="91"/>
  <c r="G655" i="91" s="1"/>
  <c r="E1072" i="91"/>
  <c r="G1146" i="91"/>
  <c r="F1361" i="91"/>
  <c r="G1361" i="91" s="1"/>
  <c r="E1528" i="91"/>
  <c r="G1563" i="91"/>
  <c r="G1562" i="91" s="1"/>
  <c r="G1582" i="91"/>
  <c r="G1595" i="91"/>
  <c r="G1594" i="91" s="1"/>
  <c r="C1757" i="3"/>
  <c r="F3990" i="91"/>
  <c r="G3990" i="91" s="1"/>
  <c r="C268" i="3"/>
  <c r="F787" i="91"/>
  <c r="G787" i="91" s="1"/>
  <c r="E828" i="91"/>
  <c r="F971" i="91"/>
  <c r="G994" i="91"/>
  <c r="G993" i="91" s="1"/>
  <c r="E1290" i="91"/>
  <c r="G1442" i="91"/>
  <c r="G1440" i="91" s="1"/>
  <c r="C542" i="3"/>
  <c r="D542" i="3" s="1"/>
  <c r="E542" i="3" s="1"/>
  <c r="C784" i="3"/>
  <c r="D52" i="4" s="1"/>
  <c r="D785" i="3"/>
  <c r="C90" i="3"/>
  <c r="D90" i="3" s="1"/>
  <c r="E90" i="3" s="1"/>
  <c r="F779" i="91"/>
  <c r="G779" i="91" s="1"/>
  <c r="F845" i="91"/>
  <c r="G930" i="91"/>
  <c r="G929" i="91" s="1"/>
  <c r="F929" i="91"/>
  <c r="G942" i="91"/>
  <c r="G941" i="91" s="1"/>
  <c r="G972" i="91"/>
  <c r="G971" i="91" s="1"/>
  <c r="G1043" i="91"/>
  <c r="G1087" i="91"/>
  <c r="F1109" i="91"/>
  <c r="G1162" i="91"/>
  <c r="G1181" i="91"/>
  <c r="G1180" i="91" s="1"/>
  <c r="F1288" i="91"/>
  <c r="G1288" i="91" s="1"/>
  <c r="G1468" i="91"/>
  <c r="G1467" i="91" s="1"/>
  <c r="G1476" i="91"/>
  <c r="G1475" i="91" s="1"/>
  <c r="G1499" i="91"/>
  <c r="G1498" i="91" s="1"/>
  <c r="F1504" i="91"/>
  <c r="G1509" i="91"/>
  <c r="G1507" i="91" s="1"/>
  <c r="G1546" i="91"/>
  <c r="G1545" i="91" s="1"/>
  <c r="F2009" i="91"/>
  <c r="G2009" i="91" s="1"/>
  <c r="F2319" i="91"/>
  <c r="G2319" i="91" s="1"/>
  <c r="F2574" i="91"/>
  <c r="G2574" i="91" s="1"/>
  <c r="E2677" i="91"/>
  <c r="E2708" i="91"/>
  <c r="E2717" i="91"/>
  <c r="F2711" i="91"/>
  <c r="G2711" i="91" s="1"/>
  <c r="E3526" i="91"/>
  <c r="F3545" i="91"/>
  <c r="G3545" i="91" s="1"/>
  <c r="E3549" i="91"/>
  <c r="F4028" i="91"/>
  <c r="G4028" i="91" s="1"/>
  <c r="C62" i="3"/>
  <c r="C902" i="3"/>
  <c r="D902" i="3" s="1"/>
  <c r="E902" i="3" s="1"/>
  <c r="C186" i="3"/>
  <c r="D186" i="3" s="1"/>
  <c r="E186" i="3" s="1"/>
  <c r="F1040" i="91"/>
  <c r="C413" i="3"/>
  <c r="D431" i="3"/>
  <c r="C461" i="3"/>
  <c r="F1336" i="91"/>
  <c r="G1336" i="91" s="1"/>
  <c r="D627" i="3"/>
  <c r="E627" i="3" s="1"/>
  <c r="E2338" i="91"/>
  <c r="E2379" i="91"/>
  <c r="E2538" i="91"/>
  <c r="E4395" i="91"/>
  <c r="C1947" i="3" s="1"/>
  <c r="F4484" i="91"/>
  <c r="G4484" i="91" s="1"/>
  <c r="F439" i="91"/>
  <c r="G439" i="91" s="1"/>
  <c r="G906" i="91"/>
  <c r="G905" i="91" s="1"/>
  <c r="G945" i="91"/>
  <c r="G944" i="91" s="1"/>
  <c r="G1041" i="91"/>
  <c r="G1040" i="91" s="1"/>
  <c r="F1154" i="91"/>
  <c r="F1582" i="91"/>
  <c r="C717" i="3"/>
  <c r="F1893" i="91"/>
  <c r="G1893" i="91" s="1"/>
  <c r="E2324" i="91"/>
  <c r="F2335" i="91"/>
  <c r="G2335" i="91" s="1"/>
  <c r="F2377" i="91"/>
  <c r="G2377" i="91" s="1"/>
  <c r="D1075" i="3"/>
  <c r="E2556" i="91"/>
  <c r="C1425" i="3"/>
  <c r="D1440" i="3"/>
  <c r="E1441" i="3"/>
  <c r="E1440" i="3" s="1"/>
  <c r="C1845" i="3"/>
  <c r="D1845" i="3" s="1"/>
  <c r="E1845" i="3" s="1"/>
  <c r="F4220" i="91"/>
  <c r="G4220" i="91" s="1"/>
  <c r="F4390" i="91"/>
  <c r="G4390" i="91" s="1"/>
  <c r="C447" i="3"/>
  <c r="D613" i="3"/>
  <c r="D1831" i="3"/>
  <c r="E4040" i="91"/>
  <c r="C513" i="3"/>
  <c r="D526" i="3"/>
  <c r="C266" i="3"/>
  <c r="D266" i="3" s="1"/>
  <c r="E266" i="3" s="1"/>
  <c r="E2634" i="91"/>
  <c r="F2704" i="91"/>
  <c r="G2704" i="91" s="1"/>
  <c r="C1572" i="3"/>
  <c r="D1572" i="3" s="1"/>
  <c r="E1572" i="3" s="1"/>
  <c r="E4414" i="91"/>
  <c r="C1989" i="3"/>
  <c r="C1988" i="3" s="1"/>
  <c r="C1643" i="3"/>
  <c r="C1479" i="3"/>
  <c r="D1479" i="3" s="1"/>
  <c r="E1479" i="3" s="1"/>
  <c r="F3265" i="91"/>
  <c r="G3265" i="91" s="1"/>
  <c r="E4516" i="91"/>
  <c r="F4512" i="91"/>
  <c r="G4512" i="91" s="1"/>
  <c r="C200" i="3"/>
  <c r="D200" i="3" s="1"/>
  <c r="E200" i="3" s="1"/>
  <c r="D385" i="3"/>
  <c r="F2632" i="91"/>
  <c r="G2632" i="91" s="1"/>
  <c r="E2651" i="91"/>
  <c r="C1144" i="3"/>
  <c r="D1144" i="3" s="1"/>
  <c r="E1144" i="3" s="1"/>
  <c r="E2801" i="91"/>
  <c r="F3290" i="91"/>
  <c r="G3290" i="91" s="1"/>
  <c r="F3522" i="91"/>
  <c r="G3522" i="91" s="1"/>
  <c r="E3557" i="91"/>
  <c r="C1630" i="3"/>
  <c r="F3708" i="91"/>
  <c r="G3708" i="91" s="1"/>
  <c r="E4252" i="91"/>
  <c r="F4411" i="91"/>
  <c r="G4411" i="91" s="1"/>
  <c r="E4436" i="91"/>
  <c r="F4508" i="91"/>
  <c r="G4508" i="91" s="1"/>
  <c r="D2106" i="3"/>
  <c r="E2106" i="3" s="1"/>
  <c r="F4755" i="91"/>
  <c r="G4755" i="91" s="1"/>
  <c r="E4336" i="91"/>
  <c r="F2722" i="91"/>
  <c r="G2722" i="91" s="1"/>
  <c r="F2794" i="91"/>
  <c r="G2794" i="91" s="1"/>
  <c r="C1340" i="3"/>
  <c r="D1341" i="3"/>
  <c r="F3212" i="91"/>
  <c r="G3212" i="91" s="1"/>
  <c r="F3292" i="91"/>
  <c r="G3292" i="91" s="1"/>
  <c r="D1713" i="3"/>
  <c r="C1697" i="3"/>
  <c r="E4294" i="91"/>
  <c r="E4567" i="91"/>
  <c r="F4571" i="91"/>
  <c r="G4571" i="91" s="1"/>
  <c r="F4563" i="91"/>
  <c r="G4563" i="91" s="1"/>
  <c r="F4586" i="91"/>
  <c r="G4586" i="91" s="1"/>
  <c r="E4630" i="91"/>
  <c r="D2080" i="3"/>
  <c r="E2080" i="3" s="1"/>
  <c r="K41" i="39" l="1"/>
  <c r="J41" i="39"/>
  <c r="J61" i="39" s="1"/>
  <c r="J68" i="39" s="1"/>
  <c r="Q60" i="39"/>
  <c r="O60" i="39"/>
  <c r="H61" i="39"/>
  <c r="H68" i="39" s="1"/>
  <c r="C68" i="39"/>
  <c r="C63" i="39" s="1"/>
  <c r="C65" i="39"/>
  <c r="E66" i="39"/>
  <c r="E63" i="39"/>
  <c r="E64" i="39"/>
  <c r="Q40" i="39"/>
  <c r="O40" i="39"/>
  <c r="I41" i="39"/>
  <c r="K60" i="39"/>
  <c r="C20" i="16"/>
  <c r="D2118" i="3"/>
  <c r="F19" i="8"/>
  <c r="E814" i="3"/>
  <c r="E684" i="3" s="1"/>
  <c r="E1702" i="3"/>
  <c r="E51" i="3"/>
  <c r="E775" i="3"/>
  <c r="E683" i="3" s="1"/>
  <c r="D2129" i="3"/>
  <c r="D2132" i="3" s="1"/>
  <c r="E1063" i="3"/>
  <c r="E1413" i="3"/>
  <c r="E1076" i="3"/>
  <c r="E105" i="3"/>
  <c r="E108" i="3" s="1"/>
  <c r="E13" i="3" s="1"/>
  <c r="E14" i="3" s="1"/>
  <c r="AE19" i="92"/>
  <c r="AC19" i="92"/>
  <c r="J19" i="92"/>
  <c r="X19" i="92"/>
  <c r="E2143" i="3"/>
  <c r="E2146" i="3" s="1"/>
  <c r="E2116" i="3" s="1"/>
  <c r="E2118" i="3" s="1"/>
  <c r="E2130" i="3"/>
  <c r="E2129" i="3" s="1"/>
  <c r="E2132" i="3" s="1"/>
  <c r="C135" i="4"/>
  <c r="E136" i="4"/>
  <c r="E135" i="4" s="1"/>
  <c r="E141" i="4" s="1"/>
  <c r="J19" i="8"/>
  <c r="X19" i="8"/>
  <c r="AE19" i="8"/>
  <c r="AC19" i="8"/>
  <c r="C1302" i="3"/>
  <c r="D1302" i="3" s="1"/>
  <c r="E1302" i="3" s="1"/>
  <c r="F3094" i="91"/>
  <c r="G3094" i="91" s="1"/>
  <c r="C1659" i="3"/>
  <c r="D1659" i="3" s="1"/>
  <c r="E1659" i="3" s="1"/>
  <c r="C2050" i="3"/>
  <c r="B18" i="92" s="1"/>
  <c r="E614" i="3"/>
  <c r="C757" i="3"/>
  <c r="D757" i="3" s="1"/>
  <c r="F1978" i="91"/>
  <c r="G1978" i="91" s="1"/>
  <c r="F3051" i="91"/>
  <c r="G3051" i="91" s="1"/>
  <c r="C1439" i="3"/>
  <c r="D1439" i="3" s="1"/>
  <c r="E1439" i="3" s="1"/>
  <c r="F1976" i="91"/>
  <c r="G1976" i="91" s="1"/>
  <c r="F866" i="91"/>
  <c r="G866" i="91"/>
  <c r="F1598" i="91"/>
  <c r="F3198" i="91"/>
  <c r="G3198" i="91" s="1"/>
  <c r="F123" i="91"/>
  <c r="G123" i="91" s="1"/>
  <c r="F887" i="91"/>
  <c r="E2931" i="91"/>
  <c r="E2940" i="91" s="1"/>
  <c r="F2940" i="91" s="1"/>
  <c r="G2940" i="91" s="1"/>
  <c r="F857" i="91"/>
  <c r="G857" i="91"/>
  <c r="E2147" i="91"/>
  <c r="E2148" i="91" s="1"/>
  <c r="F2148" i="91" s="1"/>
  <c r="G2148" i="91" s="1"/>
  <c r="C144" i="3"/>
  <c r="D144" i="3" s="1"/>
  <c r="E144" i="3" s="1"/>
  <c r="F2199" i="91"/>
  <c r="G2199" i="91" s="1"/>
  <c r="E2138" i="91"/>
  <c r="C901" i="3" s="1"/>
  <c r="C783" i="3"/>
  <c r="C780" i="3" s="1"/>
  <c r="C52" i="4" s="1"/>
  <c r="E52" i="4" s="1"/>
  <c r="E3004" i="91"/>
  <c r="C1326" i="3" s="1"/>
  <c r="C1324" i="3" s="1"/>
  <c r="C86" i="4" s="1"/>
  <c r="E4118" i="91"/>
  <c r="E4138" i="91" s="1"/>
  <c r="F4138" i="91" s="1"/>
  <c r="G4138" i="91" s="1"/>
  <c r="C143" i="3"/>
  <c r="E900" i="91"/>
  <c r="E901" i="91" s="1"/>
  <c r="E3056" i="91"/>
  <c r="F3056" i="91" s="1"/>
  <c r="G3056" i="91" s="1"/>
  <c r="F2145" i="91"/>
  <c r="G2145" i="91" s="1"/>
  <c r="E2055" i="91"/>
  <c r="C825" i="3" s="1"/>
  <c r="F1131" i="91"/>
  <c r="E3162" i="91"/>
  <c r="E3863" i="91"/>
  <c r="C1673" i="3" s="1"/>
  <c r="C1672" i="3" s="1"/>
  <c r="E3668" i="91"/>
  <c r="F3668" i="91" s="1"/>
  <c r="G3668" i="91" s="1"/>
  <c r="E3159" i="91"/>
  <c r="F3159" i="91" s="1"/>
  <c r="G3159" i="91" s="1"/>
  <c r="G1068" i="91"/>
  <c r="E3362" i="91"/>
  <c r="E3363" i="91" s="1"/>
  <c r="E3768" i="91"/>
  <c r="C1644" i="3" s="1"/>
  <c r="D1644" i="3" s="1"/>
  <c r="E1644" i="3" s="1"/>
  <c r="E3823" i="91"/>
  <c r="C1661" i="3" s="1"/>
  <c r="C1660" i="3" s="1"/>
  <c r="E3220" i="91"/>
  <c r="F1068" i="91"/>
  <c r="F1072" i="91" s="1"/>
  <c r="F1119" i="91"/>
  <c r="F3170" i="91"/>
  <c r="G3170" i="91" s="1"/>
  <c r="F1095" i="91"/>
  <c r="E389" i="91"/>
  <c r="C171" i="3" s="1"/>
  <c r="C1355" i="3"/>
  <c r="C1262" i="3" s="1"/>
  <c r="C1261" i="3" s="1"/>
  <c r="E3294" i="91"/>
  <c r="F2820" i="91"/>
  <c r="G2820" i="91" s="1"/>
  <c r="E1963" i="91"/>
  <c r="F1963" i="91" s="1"/>
  <c r="G1963" i="91" s="1"/>
  <c r="C1288" i="3"/>
  <c r="D1288" i="3" s="1"/>
  <c r="C1423" i="3"/>
  <c r="C1408" i="3" s="1"/>
  <c r="E1015" i="91"/>
  <c r="E2076" i="91"/>
  <c r="F2076" i="91" s="1"/>
  <c r="G2076" i="91" s="1"/>
  <c r="F1145" i="91"/>
  <c r="E2441" i="91"/>
  <c r="F2441" i="91" s="1"/>
  <c r="G2441" i="91" s="1"/>
  <c r="F874" i="91"/>
  <c r="F1172" i="91"/>
  <c r="E1190" i="91"/>
  <c r="C386" i="3" s="1"/>
  <c r="D386" i="3" s="1"/>
  <c r="E386" i="3" s="1"/>
  <c r="E1133" i="91"/>
  <c r="C373" i="3" s="1"/>
  <c r="D373" i="3" s="1"/>
  <c r="E373" i="3" s="1"/>
  <c r="F884" i="91"/>
  <c r="E2898" i="91"/>
  <c r="F2898" i="91" s="1"/>
  <c r="G2898" i="91" s="1"/>
  <c r="E498" i="91"/>
  <c r="C199" i="3" s="1"/>
  <c r="F3343" i="91"/>
  <c r="G3343" i="91" s="1"/>
  <c r="G1145" i="91"/>
  <c r="G1190" i="91" s="1"/>
  <c r="G1201" i="91" s="1"/>
  <c r="G874" i="91"/>
  <c r="C61" i="3"/>
  <c r="E3337" i="91"/>
  <c r="C1632" i="3"/>
  <c r="C1631" i="3" s="1"/>
  <c r="E3406" i="91"/>
  <c r="C1438" i="3" s="1"/>
  <c r="G880" i="91"/>
  <c r="F3349" i="91"/>
  <c r="G3349" i="91" s="1"/>
  <c r="F889" i="91"/>
  <c r="F3765" i="91"/>
  <c r="G3765" i="91" s="1"/>
  <c r="E3718" i="91"/>
  <c r="F3718" i="91" s="1"/>
  <c r="G3718" i="91" s="1"/>
  <c r="F896" i="91"/>
  <c r="F203" i="91"/>
  <c r="G203" i="91" s="1"/>
  <c r="F3713" i="91"/>
  <c r="G3713" i="91" s="1"/>
  <c r="F880" i="91"/>
  <c r="F1934" i="91"/>
  <c r="G1934" i="91" s="1"/>
  <c r="E3651" i="91"/>
  <c r="C1615" i="3" s="1"/>
  <c r="E2978" i="91"/>
  <c r="F2978" i="91" s="1"/>
  <c r="G2978" i="91" s="1"/>
  <c r="E3096" i="91"/>
  <c r="C1352" i="3" s="1"/>
  <c r="E2113" i="91"/>
  <c r="C877" i="3" s="1"/>
  <c r="C1616" i="3"/>
  <c r="D1616" i="3" s="1"/>
  <c r="E1616" i="3" s="1"/>
  <c r="E2064" i="91"/>
  <c r="F2064" i="91" s="1"/>
  <c r="G2064" i="91" s="1"/>
  <c r="F199" i="91"/>
  <c r="G199" i="91" s="1"/>
  <c r="F3334" i="91"/>
  <c r="G3334" i="91" s="1"/>
  <c r="E3856" i="91"/>
  <c r="C64" i="3"/>
  <c r="D64" i="3" s="1"/>
  <c r="F162" i="91"/>
  <c r="G162" i="91" s="1"/>
  <c r="E3471" i="91"/>
  <c r="C1505" i="3"/>
  <c r="D1505" i="3" s="1"/>
  <c r="E1505" i="3" s="1"/>
  <c r="F3314" i="91"/>
  <c r="G3314" i="91" s="1"/>
  <c r="E3267" i="91"/>
  <c r="F3255" i="91"/>
  <c r="G3255" i="91" s="1"/>
  <c r="E3137" i="91"/>
  <c r="F1177" i="91"/>
  <c r="C1378" i="3"/>
  <c r="D1378" i="3" s="1"/>
  <c r="E1378" i="3" s="1"/>
  <c r="E1937" i="91"/>
  <c r="C718" i="3" s="1"/>
  <c r="C716" i="3" s="1"/>
  <c r="F238" i="91"/>
  <c r="G238" i="91" s="1"/>
  <c r="E658" i="91"/>
  <c r="F1103" i="91"/>
  <c r="E603" i="91"/>
  <c r="C226" i="3" s="1"/>
  <c r="E710" i="91"/>
  <c r="C252" i="3" s="1"/>
  <c r="E3983" i="91"/>
  <c r="C1754" i="3" s="1"/>
  <c r="E2857" i="91"/>
  <c r="C1274" i="3" s="1"/>
  <c r="C1272" i="3" s="1"/>
  <c r="F3154" i="91"/>
  <c r="G3154" i="91" s="1"/>
  <c r="E2092" i="91"/>
  <c r="C851" i="3" s="1"/>
  <c r="F1086" i="91"/>
  <c r="E1363" i="91"/>
  <c r="E1375" i="91" s="1"/>
  <c r="F1375" i="91" s="1"/>
  <c r="G1375" i="91" s="1"/>
  <c r="E3591" i="91"/>
  <c r="C1602" i="3" s="1"/>
  <c r="E2202" i="91"/>
  <c r="C927" i="3" s="1"/>
  <c r="G1086" i="91"/>
  <c r="G1133" i="91" s="1"/>
  <c r="E3809" i="91"/>
  <c r="C1658" i="3" s="1"/>
  <c r="E2122" i="91"/>
  <c r="C889" i="3" s="1"/>
  <c r="C887" i="3" s="1"/>
  <c r="C1873" i="3"/>
  <c r="D120" i="4" s="1"/>
  <c r="F1374" i="91"/>
  <c r="G1374" i="91" s="1"/>
  <c r="F4445" i="91"/>
  <c r="G4445" i="91" s="1"/>
  <c r="F776" i="91"/>
  <c r="G776" i="91" s="1"/>
  <c r="F4401" i="91"/>
  <c r="G4401" i="91" s="1"/>
  <c r="E1619" i="91"/>
  <c r="F4306" i="91"/>
  <c r="G4306" i="91" s="1"/>
  <c r="C568" i="3"/>
  <c r="C41" i="4" s="1"/>
  <c r="E41" i="4" s="1"/>
  <c r="E2104" i="91"/>
  <c r="F2104" i="91" s="1"/>
  <c r="G2104" i="91" s="1"/>
  <c r="G1032" i="91"/>
  <c r="G1058" i="91" s="1"/>
  <c r="F1200" i="91"/>
  <c r="E2606" i="91"/>
  <c r="F2606" i="91" s="1"/>
  <c r="G2606" i="91" s="1"/>
  <c r="F2605" i="91"/>
  <c r="G2605" i="91" s="1"/>
  <c r="D1118" i="3"/>
  <c r="D1117" i="3" s="1"/>
  <c r="C729" i="3"/>
  <c r="C736" i="3" s="1"/>
  <c r="C678" i="3" s="1"/>
  <c r="E2736" i="91"/>
  <c r="F2736" i="91" s="1"/>
  <c r="G2736" i="91" s="1"/>
  <c r="C475" i="3"/>
  <c r="D475" i="3" s="1"/>
  <c r="C2026" i="3"/>
  <c r="C2025" i="3" s="1"/>
  <c r="C432" i="3"/>
  <c r="C430" i="3" s="1"/>
  <c r="F2735" i="91"/>
  <c r="G2735" i="91" s="1"/>
  <c r="F4502" i="91"/>
  <c r="G4502" i="91" s="1"/>
  <c r="E1204" i="91"/>
  <c r="F1946" i="91"/>
  <c r="G1946" i="91" s="1"/>
  <c r="F1032" i="91"/>
  <c r="F1058" i="91" s="1"/>
  <c r="F2103" i="91"/>
  <c r="G2103" i="91" s="1"/>
  <c r="F2682" i="91"/>
  <c r="G2682" i="91" s="1"/>
  <c r="F1969" i="91"/>
  <c r="G1969" i="91" s="1"/>
  <c r="C1832" i="3"/>
  <c r="D117" i="4" s="1"/>
  <c r="E2012" i="91"/>
  <c r="F2012" i="91" s="1"/>
  <c r="G2012" i="91" s="1"/>
  <c r="G1538" i="91"/>
  <c r="E783" i="91"/>
  <c r="F783" i="91" s="1"/>
  <c r="G783" i="91" s="1"/>
  <c r="F4357" i="91"/>
  <c r="G4357" i="91" s="1"/>
  <c r="F4267" i="91"/>
  <c r="G4267" i="91" s="1"/>
  <c r="F4190" i="91"/>
  <c r="G4190" i="91" s="1"/>
  <c r="C345" i="3"/>
  <c r="C27" i="4" s="1"/>
  <c r="E27" i="4" s="1"/>
  <c r="C310" i="3"/>
  <c r="C309" i="3" s="1"/>
  <c r="E5" i="8" s="1"/>
  <c r="C543" i="3"/>
  <c r="D39" i="4" s="1"/>
  <c r="D544" i="3"/>
  <c r="D543" i="3" s="1"/>
  <c r="F3943" i="91"/>
  <c r="G3943" i="91" s="1"/>
  <c r="C1745" i="3"/>
  <c r="D1745" i="3" s="1"/>
  <c r="C1977" i="3"/>
  <c r="C1976" i="3" s="1"/>
  <c r="C1728" i="3"/>
  <c r="D1728" i="3" s="1"/>
  <c r="C628" i="3"/>
  <c r="D44" i="4" s="1"/>
  <c r="F2751" i="91"/>
  <c r="G2751" i="91" s="1"/>
  <c r="F1618" i="91"/>
  <c r="F1619" i="91" s="1"/>
  <c r="G1479" i="91"/>
  <c r="E2752" i="91"/>
  <c r="F2752" i="91" s="1"/>
  <c r="G2752" i="91" s="1"/>
  <c r="F2285" i="91"/>
  <c r="G2285" i="91" s="1"/>
  <c r="F1538" i="91"/>
  <c r="G1008" i="91"/>
  <c r="F1587" i="91"/>
  <c r="E957" i="3"/>
  <c r="C1289" i="3"/>
  <c r="D83" i="4" s="1"/>
  <c r="F2599" i="91"/>
  <c r="G2599" i="91" s="1"/>
  <c r="C598" i="3"/>
  <c r="C1115" i="3"/>
  <c r="D1115" i="3" s="1"/>
  <c r="E1115" i="3" s="1"/>
  <c r="F4031" i="91"/>
  <c r="G4031" i="91" s="1"/>
  <c r="F4222" i="91"/>
  <c r="G4222" i="91" s="1"/>
  <c r="D489" i="3"/>
  <c r="F1479" i="91"/>
  <c r="C308" i="3"/>
  <c r="E1623" i="91"/>
  <c r="C1860" i="3"/>
  <c r="D119" i="4" s="1"/>
  <c r="G1598" i="91"/>
  <c r="C263" i="3"/>
  <c r="C21" i="4" s="1"/>
  <c r="D558" i="3"/>
  <c r="D557" i="3" s="1"/>
  <c r="E337" i="3"/>
  <c r="E336" i="3" s="1"/>
  <c r="C2013" i="3"/>
  <c r="C2012" i="3" s="1"/>
  <c r="C1058" i="3"/>
  <c r="B11" i="8" s="1"/>
  <c r="C517" i="3"/>
  <c r="C516" i="3" s="1"/>
  <c r="E7" i="92" s="1"/>
  <c r="AP7" i="92" s="1"/>
  <c r="D841" i="3"/>
  <c r="C840" i="3"/>
  <c r="D54" i="4" s="1"/>
  <c r="E4578" i="91"/>
  <c r="F1008" i="91"/>
  <c r="F1015" i="91" s="1"/>
  <c r="G953" i="91"/>
  <c r="G962" i="91" s="1"/>
  <c r="F3549" i="91"/>
  <c r="G3549" i="91" s="1"/>
  <c r="C1587" i="3"/>
  <c r="D1273" i="3"/>
  <c r="C1258" i="3"/>
  <c r="C930" i="3"/>
  <c r="E2219" i="91"/>
  <c r="F2217" i="91"/>
  <c r="G2217" i="91" s="1"/>
  <c r="E2067" i="3"/>
  <c r="E2052" i="3" s="1"/>
  <c r="D2052" i="3"/>
  <c r="E613" i="3"/>
  <c r="E598" i="3" s="1"/>
  <c r="D598" i="3"/>
  <c r="E1570" i="3"/>
  <c r="C1889" i="3"/>
  <c r="F4336" i="91"/>
  <c r="G4336" i="91" s="1"/>
  <c r="E526" i="3"/>
  <c r="D513" i="3"/>
  <c r="C987" i="3"/>
  <c r="F2338" i="91"/>
  <c r="G2338" i="91" s="1"/>
  <c r="E2339" i="91"/>
  <c r="F2339" i="91" s="1"/>
  <c r="G2339" i="91" s="1"/>
  <c r="F4757" i="91"/>
  <c r="G4757" i="91" s="1"/>
  <c r="D1964" i="3"/>
  <c r="C1963" i="3"/>
  <c r="B8" i="92"/>
  <c r="B8" i="8"/>
  <c r="C555" i="3"/>
  <c r="E1599" i="91"/>
  <c r="D747" i="3"/>
  <c r="C746" i="3"/>
  <c r="D50" i="4" s="1"/>
  <c r="D1832" i="3"/>
  <c r="E1833" i="3"/>
  <c r="C996" i="3"/>
  <c r="F2379" i="91"/>
  <c r="G2379" i="91" s="1"/>
  <c r="D784" i="3"/>
  <c r="E785" i="3"/>
  <c r="E784" i="3" s="1"/>
  <c r="D864" i="3"/>
  <c r="C862" i="3"/>
  <c r="C157" i="3"/>
  <c r="F328" i="91"/>
  <c r="G328" i="91" s="1"/>
  <c r="C1590" i="3"/>
  <c r="F3557" i="91"/>
  <c r="G3557" i="91" s="1"/>
  <c r="E3558" i="91"/>
  <c r="F3558" i="91" s="1"/>
  <c r="G3558" i="91" s="1"/>
  <c r="D1643" i="3"/>
  <c r="C1553" i="3"/>
  <c r="D447" i="3"/>
  <c r="C415" i="3"/>
  <c r="E4543" i="91"/>
  <c r="F4542" i="91"/>
  <c r="G4542" i="91" s="1"/>
  <c r="D1184" i="3"/>
  <c r="C1182" i="3"/>
  <c r="C1742" i="3"/>
  <c r="F4074" i="91"/>
  <c r="G4074" i="91" s="1"/>
  <c r="D957" i="3"/>
  <c r="C702" i="3"/>
  <c r="D717" i="3"/>
  <c r="E528" i="3"/>
  <c r="E515" i="3" s="1"/>
  <c r="D515" i="3"/>
  <c r="F4567" i="91"/>
  <c r="G4567" i="91" s="1"/>
  <c r="E4568" i="91"/>
  <c r="E824" i="3"/>
  <c r="F2556" i="91"/>
  <c r="G2556" i="91" s="1"/>
  <c r="C1088" i="3"/>
  <c r="E2557" i="91"/>
  <c r="F2557" i="91" s="1"/>
  <c r="G2557" i="91" s="1"/>
  <c r="E4140" i="91"/>
  <c r="F4137" i="91"/>
  <c r="C1783" i="3"/>
  <c r="C515" i="3"/>
  <c r="D1697" i="3"/>
  <c r="E1713" i="3"/>
  <c r="C1143" i="3"/>
  <c r="E2652" i="91"/>
  <c r="F2652" i="91" s="1"/>
  <c r="G2652" i="91" s="1"/>
  <c r="F2651" i="91"/>
  <c r="G2651" i="91" s="1"/>
  <c r="C1074" i="3"/>
  <c r="F2538" i="91"/>
  <c r="G2538" i="91" s="1"/>
  <c r="E629" i="3"/>
  <c r="D628" i="3"/>
  <c r="C1021" i="3"/>
  <c r="F2475" i="91"/>
  <c r="E1073" i="3"/>
  <c r="D1058" i="3"/>
  <c r="E359" i="3"/>
  <c r="F4678" i="91"/>
  <c r="G4678" i="91" s="1"/>
  <c r="C1132" i="3"/>
  <c r="E2635" i="91"/>
  <c r="F2635" i="91" s="1"/>
  <c r="G2635" i="91" s="1"/>
  <c r="F2634" i="91"/>
  <c r="G2634" i="91" s="1"/>
  <c r="C984" i="3"/>
  <c r="F2324" i="91"/>
  <c r="G2324" i="91" s="1"/>
  <c r="C278" i="3"/>
  <c r="F828" i="91"/>
  <c r="E829" i="91"/>
  <c r="E1428" i="91"/>
  <c r="F1417" i="91"/>
  <c r="G1417" i="91" s="1"/>
  <c r="C486" i="3"/>
  <c r="C1451" i="3"/>
  <c r="E3443" i="91"/>
  <c r="F3442" i="91"/>
  <c r="G3442" i="91" s="1"/>
  <c r="F4720" i="91"/>
  <c r="G4720" i="91" s="1"/>
  <c r="C541" i="3"/>
  <c r="E1539" i="91"/>
  <c r="F2627" i="91"/>
  <c r="G2627" i="91" s="1"/>
  <c r="C1129" i="3"/>
  <c r="F953" i="91"/>
  <c r="F962" i="91" s="1"/>
  <c r="D1425" i="3"/>
  <c r="F3475" i="91"/>
  <c r="G3224" i="91"/>
  <c r="G3475" i="91" s="1"/>
  <c r="C334" i="3"/>
  <c r="E962" i="91"/>
  <c r="D568" i="3"/>
  <c r="D575" i="3" s="1"/>
  <c r="D504" i="3" s="1"/>
  <c r="D505" i="3" s="1"/>
  <c r="E570" i="3"/>
  <c r="E568" i="3" s="1"/>
  <c r="E575" i="3" s="1"/>
  <c r="E504" i="3" s="1"/>
  <c r="E505" i="3" s="1"/>
  <c r="F4458" i="91"/>
  <c r="G4458" i="91" s="1"/>
  <c r="C1973" i="3"/>
  <c r="C957" i="3"/>
  <c r="D1340" i="3"/>
  <c r="E1341" i="3"/>
  <c r="E1340" i="3" s="1"/>
  <c r="C1949" i="3"/>
  <c r="D1950" i="3"/>
  <c r="C1714" i="3"/>
  <c r="F3917" i="91"/>
  <c r="G3917" i="91" s="1"/>
  <c r="D1160" i="3"/>
  <c r="C1159" i="3"/>
  <c r="D75" i="4" s="1"/>
  <c r="D87" i="4"/>
  <c r="C1858" i="3"/>
  <c r="E4268" i="91"/>
  <c r="F4268" i="91" s="1"/>
  <c r="G4268" i="91" s="1"/>
  <c r="F4252" i="91"/>
  <c r="G4252" i="91" s="1"/>
  <c r="E2718" i="91"/>
  <c r="F2718" i="91" s="1"/>
  <c r="G2718" i="91" s="1"/>
  <c r="F2717" i="91"/>
  <c r="G2717" i="91" s="1"/>
  <c r="C1174" i="3"/>
  <c r="C446" i="3"/>
  <c r="F1290" i="91"/>
  <c r="G1290" i="91" s="1"/>
  <c r="D1860" i="3"/>
  <c r="E1861" i="3"/>
  <c r="E1860" i="3" s="1"/>
  <c r="E4084" i="91"/>
  <c r="E1114" i="3"/>
  <c r="C1830" i="3"/>
  <c r="C1828" i="3" s="1"/>
  <c r="E4338" i="91"/>
  <c r="E4191" i="91"/>
  <c r="F4191" i="91" s="1"/>
  <c r="G4191" i="91" s="1"/>
  <c r="F4185" i="91"/>
  <c r="C388" i="3"/>
  <c r="D30" i="4" s="1"/>
  <c r="D389" i="3"/>
  <c r="G1618" i="91"/>
  <c r="G1619" i="91" s="1"/>
  <c r="E4637" i="91"/>
  <c r="C2066" i="3"/>
  <c r="E4631" i="91"/>
  <c r="F4630" i="91"/>
  <c r="E4758" i="91"/>
  <c r="B15" i="92"/>
  <c r="B15" i="8"/>
  <c r="C1224" i="3"/>
  <c r="F2801" i="91"/>
  <c r="E2811" i="91"/>
  <c r="E1290" i="3"/>
  <c r="D1289" i="3"/>
  <c r="D1815" i="3"/>
  <c r="E1831" i="3"/>
  <c r="E1815" i="3" s="1"/>
  <c r="C1060" i="3"/>
  <c r="E4396" i="91"/>
  <c r="F4395" i="91"/>
  <c r="G4395" i="91" s="1"/>
  <c r="E431" i="3"/>
  <c r="D413" i="3"/>
  <c r="F2708" i="91"/>
  <c r="G2708" i="91" s="1"/>
  <c r="C1171" i="3"/>
  <c r="D2001" i="3"/>
  <c r="C2000" i="3"/>
  <c r="C1377" i="3"/>
  <c r="E3157" i="91"/>
  <c r="F3157" i="91" s="1"/>
  <c r="G3157" i="91" s="1"/>
  <c r="F3156" i="91"/>
  <c r="C955" i="3"/>
  <c r="C968" i="3"/>
  <c r="D969" i="3"/>
  <c r="E333" i="3"/>
  <c r="G1014" i="91"/>
  <c r="B4" i="8"/>
  <c r="B4" i="92"/>
  <c r="C1605" i="3"/>
  <c r="F3598" i="91"/>
  <c r="G3598" i="91" s="1"/>
  <c r="E926" i="3"/>
  <c r="D1699" i="3"/>
  <c r="E1768" i="3"/>
  <c r="E1699" i="3" s="1"/>
  <c r="C1629" i="3"/>
  <c r="F3710" i="91"/>
  <c r="G3710" i="91" s="1"/>
  <c r="D1829" i="3"/>
  <c r="C1813" i="3"/>
  <c r="G1427" i="91"/>
  <c r="C1210" i="3"/>
  <c r="F2784" i="91"/>
  <c r="G2784" i="91" s="1"/>
  <c r="E2785" i="91"/>
  <c r="F2785" i="91" s="1"/>
  <c r="G2785" i="91" s="1"/>
  <c r="C1765" i="3"/>
  <c r="C114" i="4" s="1"/>
  <c r="D1767" i="3"/>
  <c r="G1528" i="91"/>
  <c r="G1254" i="91"/>
  <c r="D1844" i="3"/>
  <c r="C1842" i="3"/>
  <c r="C118" i="4" s="1"/>
  <c r="C362" i="3"/>
  <c r="D28" i="4" s="1"/>
  <c r="D363" i="3"/>
  <c r="E320" i="3"/>
  <c r="D306" i="3"/>
  <c r="C1986" i="3"/>
  <c r="F4503" i="91"/>
  <c r="G4503" i="91" s="1"/>
  <c r="B6" i="92"/>
  <c r="B6" i="8"/>
  <c r="C1157" i="3"/>
  <c r="F2677" i="91"/>
  <c r="G2677" i="91" s="1"/>
  <c r="E611" i="3"/>
  <c r="D596" i="3"/>
  <c r="C1960" i="3"/>
  <c r="F4414" i="91"/>
  <c r="G4414" i="91" s="1"/>
  <c r="D62" i="3"/>
  <c r="D1757" i="3"/>
  <c r="C1756" i="3"/>
  <c r="D1304" i="3"/>
  <c r="C1303" i="3"/>
  <c r="E346" i="3"/>
  <c r="E345" i="3" s="1"/>
  <c r="D345" i="3"/>
  <c r="E1874" i="3"/>
  <c r="E1873" i="3" s="1"/>
  <c r="D1873" i="3"/>
  <c r="D308" i="3"/>
  <c r="E322" i="3"/>
  <c r="E308" i="3" s="1"/>
  <c r="C1961" i="3"/>
  <c r="D1961" i="3" s="1"/>
  <c r="E1961" i="3" s="1"/>
  <c r="F4436" i="91"/>
  <c r="G4436" i="91" s="1"/>
  <c r="E4437" i="91"/>
  <c r="F3526" i="91"/>
  <c r="G3526" i="91" s="1"/>
  <c r="C1571" i="3"/>
  <c r="G1587" i="91"/>
  <c r="C1847" i="3"/>
  <c r="F4232" i="91"/>
  <c r="G4232" i="91" s="1"/>
  <c r="D743" i="3"/>
  <c r="C1974" i="3"/>
  <c r="D1974" i="3" s="1"/>
  <c r="E1974" i="3" s="1"/>
  <c r="F4480" i="91"/>
  <c r="G4480" i="91" s="1"/>
  <c r="E4481" i="91"/>
  <c r="C2069" i="3"/>
  <c r="F4636" i="91"/>
  <c r="E4759" i="91"/>
  <c r="E2810" i="91"/>
  <c r="F2810" i="91" s="1"/>
  <c r="G2810" i="91" s="1"/>
  <c r="F2809" i="91"/>
  <c r="E2812" i="91"/>
  <c r="C1227" i="3"/>
  <c r="B7" i="8"/>
  <c r="B7" i="92"/>
  <c r="F3918" i="91"/>
  <c r="G3918" i="91" s="1"/>
  <c r="E3919" i="91"/>
  <c r="F3919" i="91" s="1"/>
  <c r="G3919" i="91" s="1"/>
  <c r="E2683" i="91"/>
  <c r="F2683" i="91" s="1"/>
  <c r="G2683" i="91" s="1"/>
  <c r="E372" i="3"/>
  <c r="C999" i="3"/>
  <c r="E2477" i="91"/>
  <c r="E2399" i="91"/>
  <c r="F2399" i="91" s="1"/>
  <c r="G2399" i="91" s="1"/>
  <c r="F2398" i="91"/>
  <c r="D2050" i="3"/>
  <c r="E2065" i="3"/>
  <c r="E385" i="3"/>
  <c r="D1947" i="3"/>
  <c r="D268" i="3"/>
  <c r="C267" i="3"/>
  <c r="D21" i="4" s="1"/>
  <c r="E731" i="3"/>
  <c r="E729" i="3" s="1"/>
  <c r="E736" i="3" s="1"/>
  <c r="E678" i="3" s="1"/>
  <c r="D729" i="3"/>
  <c r="D736" i="3" s="1"/>
  <c r="D678" i="3" s="1"/>
  <c r="C360" i="3"/>
  <c r="E1071" i="91"/>
  <c r="E1073" i="91" s="1"/>
  <c r="C1886" i="3"/>
  <c r="F4326" i="91"/>
  <c r="G4326" i="91" s="1"/>
  <c r="E4337" i="91"/>
  <c r="F4337" i="91" s="1"/>
  <c r="G4337" i="91" s="1"/>
  <c r="C527" i="3"/>
  <c r="E1622" i="91"/>
  <c r="D970" i="3"/>
  <c r="C213" i="3"/>
  <c r="F551" i="91"/>
  <c r="G551" i="91" s="1"/>
  <c r="B5" i="8"/>
  <c r="B5" i="92"/>
  <c r="E265" i="3"/>
  <c r="E263" i="3" s="1"/>
  <c r="D263" i="3"/>
  <c r="C1871" i="3"/>
  <c r="E4307" i="91"/>
  <c r="F4307" i="91" s="1"/>
  <c r="G4307" i="91" s="1"/>
  <c r="F4294" i="91"/>
  <c r="G4294" i="91" s="1"/>
  <c r="G3104" i="91"/>
  <c r="G3162" i="91" s="1"/>
  <c r="F3162" i="91"/>
  <c r="C1770" i="3"/>
  <c r="F4040" i="91"/>
  <c r="G4040" i="91" s="1"/>
  <c r="D1060" i="3"/>
  <c r="E1075" i="3"/>
  <c r="E1060" i="3" s="1"/>
  <c r="D461" i="3"/>
  <c r="C460" i="3"/>
  <c r="C1426" i="3"/>
  <c r="D92" i="4" s="1"/>
  <c r="D91" i="4" s="1"/>
  <c r="C14" i="16" s="1"/>
  <c r="D1427" i="3"/>
  <c r="C1412" i="3"/>
  <c r="C1411" i="3" s="1"/>
  <c r="E60" i="3"/>
  <c r="D46" i="3"/>
  <c r="E4041" i="91"/>
  <c r="F4041" i="91" s="1"/>
  <c r="G4041" i="91" s="1"/>
  <c r="F1528" i="91"/>
  <c r="E4233" i="91"/>
  <c r="F4233" i="91" s="1"/>
  <c r="G4233" i="91" s="1"/>
  <c r="C185" i="3"/>
  <c r="F442" i="91"/>
  <c r="G442" i="91" s="1"/>
  <c r="D40" i="4"/>
  <c r="D1630" i="3"/>
  <c r="F4516" i="91"/>
  <c r="G4516" i="91" s="1"/>
  <c r="E4517" i="91"/>
  <c r="D126" i="4"/>
  <c r="E719" i="3"/>
  <c r="C1815" i="3"/>
  <c r="E4339" i="91"/>
  <c r="C2052" i="3"/>
  <c r="D349" i="3"/>
  <c r="E350" i="3"/>
  <c r="E349" i="3" s="1"/>
  <c r="C1945" i="3"/>
  <c r="C123" i="4" s="1"/>
  <c r="D1946" i="3"/>
  <c r="D1196" i="3"/>
  <c r="C1194" i="3"/>
  <c r="F2569" i="91"/>
  <c r="G2569" i="91" s="1"/>
  <c r="C1101" i="3"/>
  <c r="E2570" i="91"/>
  <c r="F2570" i="91" s="1"/>
  <c r="G2570" i="91" s="1"/>
  <c r="D1329" i="3"/>
  <c r="C1328" i="3"/>
  <c r="C458" i="3"/>
  <c r="E1337" i="91"/>
  <c r="F1337" i="91" s="1"/>
  <c r="G1337" i="91" s="1"/>
  <c r="F1329" i="91"/>
  <c r="G1329" i="91" s="1"/>
  <c r="E1069" i="91"/>
  <c r="C755" i="3" l="1"/>
  <c r="F4776" i="91"/>
  <c r="J66" i="39"/>
  <c r="J63" i="39"/>
  <c r="J64" i="39"/>
  <c r="J65" i="39"/>
  <c r="K61" i="39"/>
  <c r="K68" i="39" s="1"/>
  <c r="K64" i="39"/>
  <c r="Q41" i="39"/>
  <c r="O41" i="39"/>
  <c r="I61" i="39"/>
  <c r="H66" i="39"/>
  <c r="H65" i="39"/>
  <c r="H63" i="39"/>
  <c r="H64" i="39"/>
  <c r="D1326" i="3"/>
  <c r="D1324" i="3" s="1"/>
  <c r="C141" i="4"/>
  <c r="B20" i="16"/>
  <c r="D20" i="16" s="1"/>
  <c r="B18" i="8"/>
  <c r="L18" i="8" s="1"/>
  <c r="C1301" i="3"/>
  <c r="D1301" i="3" s="1"/>
  <c r="F1599" i="91"/>
  <c r="F1621" i="91" s="1"/>
  <c r="E3010" i="91"/>
  <c r="F3010" i="91" s="1"/>
  <c r="G3010" i="91" s="1"/>
  <c r="F2931" i="91"/>
  <c r="G2931" i="91" s="1"/>
  <c r="F122" i="91"/>
  <c r="G122" i="91" s="1"/>
  <c r="C75" i="3"/>
  <c r="D75" i="3" s="1"/>
  <c r="E75" i="3" s="1"/>
  <c r="E73" i="3" s="1"/>
  <c r="E80" i="3" s="1"/>
  <c r="E9" i="3" s="1"/>
  <c r="E10" i="3" s="1"/>
  <c r="F4118" i="91"/>
  <c r="G4118" i="91" s="1"/>
  <c r="F1623" i="91"/>
  <c r="F2055" i="91"/>
  <c r="G2055" i="91" s="1"/>
  <c r="F3004" i="91"/>
  <c r="G3004" i="91" s="1"/>
  <c r="F2147" i="91"/>
  <c r="G2147" i="91" s="1"/>
  <c r="F4631" i="91"/>
  <c r="G4631" i="91" s="1"/>
  <c r="C913" i="3"/>
  <c r="D913" i="3" s="1"/>
  <c r="D911" i="3" s="1"/>
  <c r="D918" i="3" s="1"/>
  <c r="C1780" i="3"/>
  <c r="C1698" i="3" s="1"/>
  <c r="F4637" i="91"/>
  <c r="G4637" i="91" s="1"/>
  <c r="C49" i="4"/>
  <c r="E49" i="4" s="1"/>
  <c r="F3768" i="91"/>
  <c r="G3768" i="91" s="1"/>
  <c r="F77" i="91"/>
  <c r="G77" i="91" s="1"/>
  <c r="G835" i="91" s="1"/>
  <c r="C787" i="3"/>
  <c r="C681" i="3" s="1"/>
  <c r="C321" i="3"/>
  <c r="C307" i="3" s="1"/>
  <c r="C48" i="3"/>
  <c r="D783" i="3"/>
  <c r="D704" i="3" s="1"/>
  <c r="F2138" i="91"/>
  <c r="G2138" i="91" s="1"/>
  <c r="F290" i="91"/>
  <c r="G290" i="91" s="1"/>
  <c r="C704" i="3"/>
  <c r="F291" i="91"/>
  <c r="G291" i="91" s="1"/>
  <c r="F389" i="91"/>
  <c r="G389" i="91" s="1"/>
  <c r="D7" i="4"/>
  <c r="D6" i="4" s="1"/>
  <c r="C5" i="16" s="1"/>
  <c r="F498" i="91"/>
  <c r="G498" i="91" s="1"/>
  <c r="C1410" i="3"/>
  <c r="E3061" i="91"/>
  <c r="F3061" i="91" s="1"/>
  <c r="G3061" i="91" s="1"/>
  <c r="E1970" i="91"/>
  <c r="F1970" i="91" s="1"/>
  <c r="G1970" i="91" s="1"/>
  <c r="G1069" i="91"/>
  <c r="E2903" i="91"/>
  <c r="F2903" i="91" s="1"/>
  <c r="G2903" i="91" s="1"/>
  <c r="C1338" i="3"/>
  <c r="D1338" i="3" s="1"/>
  <c r="F3362" i="91"/>
  <c r="G3362" i="91" s="1"/>
  <c r="C744" i="3"/>
  <c r="D744" i="3" s="1"/>
  <c r="E744" i="3" s="1"/>
  <c r="E2151" i="91"/>
  <c r="F2151" i="91" s="1"/>
  <c r="G2151" i="91" s="1"/>
  <c r="C1287" i="3"/>
  <c r="C1285" i="3" s="1"/>
  <c r="F3294" i="91"/>
  <c r="G3294" i="91" s="1"/>
  <c r="C1516" i="3"/>
  <c r="D1516" i="3" s="1"/>
  <c r="E1516" i="3" s="1"/>
  <c r="E1514" i="3" s="1"/>
  <c r="E1521" i="3" s="1"/>
  <c r="E1399" i="3" s="1"/>
  <c r="E2980" i="91"/>
  <c r="F2980" i="91" s="1"/>
  <c r="G2980" i="91" s="1"/>
  <c r="C838" i="3"/>
  <c r="C836" i="3" s="1"/>
  <c r="E371" i="3"/>
  <c r="E378" i="3" s="1"/>
  <c r="E297" i="3" s="1"/>
  <c r="D1423" i="3"/>
  <c r="E1423" i="3" s="1"/>
  <c r="C1314" i="3"/>
  <c r="D1314" i="3" s="1"/>
  <c r="D371" i="3"/>
  <c r="D378" i="3" s="1"/>
  <c r="D297" i="3" s="1"/>
  <c r="E1201" i="91"/>
  <c r="E1202" i="91" s="1"/>
  <c r="E384" i="3"/>
  <c r="D1673" i="3"/>
  <c r="E1673" i="3" s="1"/>
  <c r="E1672" i="3" s="1"/>
  <c r="E1621" i="91"/>
  <c r="C1354" i="3"/>
  <c r="D88" i="4" s="1"/>
  <c r="E1430" i="91"/>
  <c r="E1432" i="91" s="1"/>
  <c r="D1661" i="3"/>
  <c r="E1661" i="3" s="1"/>
  <c r="E1660" i="3" s="1"/>
  <c r="F241" i="91"/>
  <c r="G241" i="91" s="1"/>
  <c r="D384" i="3"/>
  <c r="E3866" i="91"/>
  <c r="F3866" i="91" s="1"/>
  <c r="C1642" i="3"/>
  <c r="C1649" i="3" s="1"/>
  <c r="C1530" i="3" s="1"/>
  <c r="C1531" i="3" s="1"/>
  <c r="D1355" i="3"/>
  <c r="E1355" i="3" s="1"/>
  <c r="E1354" i="3" s="1"/>
  <c r="E3161" i="91"/>
  <c r="E3163" i="91" s="1"/>
  <c r="C371" i="3"/>
  <c r="C378" i="3" s="1"/>
  <c r="C297" i="3" s="1"/>
  <c r="E3864" i="91"/>
  <c r="F3864" i="91" s="1"/>
  <c r="G3864" i="91" s="1"/>
  <c r="E3991" i="91"/>
  <c r="E3992" i="91" s="1"/>
  <c r="F3992" i="91" s="1"/>
  <c r="G3992" i="91" s="1"/>
  <c r="F3863" i="91"/>
  <c r="G3863" i="91" s="1"/>
  <c r="F2113" i="91"/>
  <c r="G2113" i="91" s="1"/>
  <c r="E3295" i="91"/>
  <c r="F3295" i="91" s="1"/>
  <c r="G3295" i="91" s="1"/>
  <c r="C1504" i="3"/>
  <c r="C1502" i="3" s="1"/>
  <c r="C384" i="3"/>
  <c r="C30" i="4" s="1"/>
  <c r="E30" i="4" s="1"/>
  <c r="E3138" i="91"/>
  <c r="F3138" i="91" s="1"/>
  <c r="G3138" i="91" s="1"/>
  <c r="C50" i="3"/>
  <c r="C49" i="3" s="1"/>
  <c r="E4" i="8" s="1"/>
  <c r="F1431" i="91"/>
  <c r="E3225" i="91"/>
  <c r="F603" i="91"/>
  <c r="G603" i="91" s="1"/>
  <c r="F3856" i="91"/>
  <c r="G3856" i="91" s="1"/>
  <c r="F3823" i="91"/>
  <c r="G3823" i="91" s="1"/>
  <c r="G900" i="91"/>
  <c r="G901" i="91" s="1"/>
  <c r="F1190" i="91"/>
  <c r="F1201" i="91" s="1"/>
  <c r="E3158" i="91"/>
  <c r="E3160" i="91" s="1"/>
  <c r="F3160" i="91" s="1"/>
  <c r="G3160" i="91" s="1"/>
  <c r="F1069" i="91"/>
  <c r="G1072" i="91"/>
  <c r="G1204" i="91" s="1"/>
  <c r="E3105" i="91"/>
  <c r="F3105" i="91" s="1"/>
  <c r="G3105" i="91" s="1"/>
  <c r="E3669" i="91"/>
  <c r="F3669" i="91" s="1"/>
  <c r="G3669" i="91" s="1"/>
  <c r="E3720" i="91"/>
  <c r="F3720" i="91" s="1"/>
  <c r="G3720" i="91" s="1"/>
  <c r="F3651" i="91"/>
  <c r="G3651" i="91" s="1"/>
  <c r="F3220" i="91"/>
  <c r="G3220" i="91" s="1"/>
  <c r="F3137" i="91"/>
  <c r="G3137" i="91" s="1"/>
  <c r="C63" i="3"/>
  <c r="G1431" i="91"/>
  <c r="E3599" i="91"/>
  <c r="F3599" i="91" s="1"/>
  <c r="G3599" i="91" s="1"/>
  <c r="F3096" i="91"/>
  <c r="G3096" i="91" s="1"/>
  <c r="E3011" i="91"/>
  <c r="F3011" i="91" s="1"/>
  <c r="G3011" i="91" s="1"/>
  <c r="C1670" i="3"/>
  <c r="C1554" i="3" s="1"/>
  <c r="C1618" i="3"/>
  <c r="D1618" i="3" s="1"/>
  <c r="E1618" i="3" s="1"/>
  <c r="E1617" i="3" s="1"/>
  <c r="F3337" i="91"/>
  <c r="G3337" i="91" s="1"/>
  <c r="C1491" i="3"/>
  <c r="D1491" i="3" s="1"/>
  <c r="E4139" i="91"/>
  <c r="E4141" i="91" s="1"/>
  <c r="F3983" i="91"/>
  <c r="G3983" i="91" s="1"/>
  <c r="C1365" i="3"/>
  <c r="D1365" i="3" s="1"/>
  <c r="F161" i="91"/>
  <c r="G161" i="91" s="1"/>
  <c r="E835" i="91"/>
  <c r="F2857" i="91"/>
  <c r="G2857" i="91" s="1"/>
  <c r="F2477" i="91"/>
  <c r="E3719" i="91"/>
  <c r="F3719" i="91" s="1"/>
  <c r="G3719" i="91" s="1"/>
  <c r="E3472" i="91"/>
  <c r="F3472" i="91" s="1"/>
  <c r="G3472" i="91" s="1"/>
  <c r="F67" i="91"/>
  <c r="G67" i="91" s="1"/>
  <c r="F3591" i="91"/>
  <c r="G3591" i="91" s="1"/>
  <c r="C1424" i="3"/>
  <c r="C1422" i="3" s="1"/>
  <c r="C92" i="4" s="1"/>
  <c r="E2218" i="91"/>
  <c r="F710" i="91"/>
  <c r="G710" i="91" s="1"/>
  <c r="C89" i="3"/>
  <c r="D89" i="3" s="1"/>
  <c r="E2476" i="91"/>
  <c r="E2478" i="91" s="1"/>
  <c r="C116" i="3"/>
  <c r="D116" i="3" s="1"/>
  <c r="C1260" i="3"/>
  <c r="C1555" i="3"/>
  <c r="F78" i="91"/>
  <c r="G78" i="91" s="1"/>
  <c r="F2202" i="91"/>
  <c r="G2202" i="91" s="1"/>
  <c r="C1464" i="3"/>
  <c r="E2065" i="91"/>
  <c r="F2065" i="91" s="1"/>
  <c r="G2065" i="91" s="1"/>
  <c r="C828" i="3"/>
  <c r="C827" i="3" s="1"/>
  <c r="D53" i="4" s="1"/>
  <c r="C1009" i="3"/>
  <c r="D1009" i="3" s="1"/>
  <c r="E1009" i="3" s="1"/>
  <c r="E1007" i="3" s="1"/>
  <c r="E1014" i="3" s="1"/>
  <c r="E945" i="3" s="1"/>
  <c r="E833" i="91"/>
  <c r="F833" i="91" s="1"/>
  <c r="G833" i="91" s="1"/>
  <c r="F900" i="91"/>
  <c r="F901" i="91" s="1"/>
  <c r="F3471" i="91"/>
  <c r="G3471" i="91" s="1"/>
  <c r="E1939" i="91"/>
  <c r="F1939" i="91" s="1"/>
  <c r="G1939" i="91" s="1"/>
  <c r="G2475" i="91"/>
  <c r="G2476" i="91" s="1"/>
  <c r="F2476" i="91"/>
  <c r="E3474" i="91"/>
  <c r="E3476" i="91" s="1"/>
  <c r="C1478" i="3"/>
  <c r="D1478" i="3" s="1"/>
  <c r="E3268" i="91"/>
  <c r="E711" i="91"/>
  <c r="F711" i="91" s="1"/>
  <c r="G711" i="91" s="1"/>
  <c r="C472" i="3"/>
  <c r="C414" i="3" s="1"/>
  <c r="F3406" i="91"/>
  <c r="G3406" i="91" s="1"/>
  <c r="F658" i="91"/>
  <c r="G658" i="91" s="1"/>
  <c r="D1632" i="3"/>
  <c r="E1632" i="3" s="1"/>
  <c r="F3267" i="91"/>
  <c r="G3267" i="91" s="1"/>
  <c r="F1133" i="91"/>
  <c r="E834" i="91"/>
  <c r="F1363" i="91"/>
  <c r="G1363" i="91" s="1"/>
  <c r="G1430" i="91" s="1"/>
  <c r="E3412" i="91"/>
  <c r="F3412" i="91" s="1"/>
  <c r="G3412" i="91" s="1"/>
  <c r="F202" i="91"/>
  <c r="G202" i="91" s="1"/>
  <c r="F1937" i="91"/>
  <c r="G1937" i="91" s="1"/>
  <c r="C239" i="3"/>
  <c r="C237" i="3" s="1"/>
  <c r="E3865" i="91"/>
  <c r="F3865" i="91" s="1"/>
  <c r="D889" i="3"/>
  <c r="D887" i="3" s="1"/>
  <c r="D894" i="3" s="1"/>
  <c r="C129" i="3"/>
  <c r="C127" i="3" s="1"/>
  <c r="E2150" i="91"/>
  <c r="F2150" i="91" s="1"/>
  <c r="G2150" i="91" s="1"/>
  <c r="F2122" i="91"/>
  <c r="G2122" i="91" s="1"/>
  <c r="E3824" i="91"/>
  <c r="F3824" i="91" s="1"/>
  <c r="G3824" i="91" s="1"/>
  <c r="F239" i="91"/>
  <c r="G239" i="91" s="1"/>
  <c r="E2123" i="91"/>
  <c r="F2123" i="91" s="1"/>
  <c r="G2123" i="91" s="1"/>
  <c r="E2011" i="91"/>
  <c r="F2011" i="91" s="1"/>
  <c r="G2011" i="91" s="1"/>
  <c r="F3809" i="91"/>
  <c r="G3809" i="91" s="1"/>
  <c r="F240" i="91"/>
  <c r="G240" i="91" s="1"/>
  <c r="F2092" i="91"/>
  <c r="G2092" i="91" s="1"/>
  <c r="C1931" i="3"/>
  <c r="B17" i="8" s="1"/>
  <c r="G4578" i="91"/>
  <c r="E1118" i="3"/>
  <c r="E1117" i="3" s="1"/>
  <c r="F4578" i="91"/>
  <c r="E5" i="92"/>
  <c r="AP5" i="92" s="1"/>
  <c r="C575" i="3"/>
  <c r="C504" i="3" s="1"/>
  <c r="C505" i="3" s="1"/>
  <c r="F1539" i="91"/>
  <c r="F3363" i="91"/>
  <c r="G3363" i="91" s="1"/>
  <c r="G1202" i="91"/>
  <c r="C474" i="3"/>
  <c r="D35" i="4" s="1"/>
  <c r="F3443" i="91"/>
  <c r="G3443" i="91" s="1"/>
  <c r="C32" i="4"/>
  <c r="E32" i="4" s="1"/>
  <c r="C437" i="3"/>
  <c r="C397" i="3" s="1"/>
  <c r="C398" i="3" s="1"/>
  <c r="D2026" i="3"/>
  <c r="E2026" i="3" s="1"/>
  <c r="E2025" i="3" s="1"/>
  <c r="C417" i="3"/>
  <c r="C416" i="3" s="1"/>
  <c r="E6" i="8" s="1"/>
  <c r="D2013" i="3"/>
  <c r="E2013" i="3" s="1"/>
  <c r="E2012" i="3" s="1"/>
  <c r="C352" i="3"/>
  <c r="C294" i="3" s="1"/>
  <c r="D432" i="3"/>
  <c r="D430" i="3" s="1"/>
  <c r="D437" i="3" s="1"/>
  <c r="D397" i="3" s="1"/>
  <c r="D398" i="3" s="1"/>
  <c r="G1539" i="91"/>
  <c r="E544" i="3"/>
  <c r="E543" i="3" s="1"/>
  <c r="E1624" i="91"/>
  <c r="C1935" i="3"/>
  <c r="D417" i="3"/>
  <c r="D416" i="3" s="1"/>
  <c r="D1977" i="3"/>
  <c r="D1976" i="3" s="1"/>
  <c r="C1726" i="3"/>
  <c r="C111" i="4" s="1"/>
  <c r="G1623" i="91"/>
  <c r="C1701" i="3"/>
  <c r="C1700" i="3" s="1"/>
  <c r="E15" i="8" s="1"/>
  <c r="C1744" i="3"/>
  <c r="D112" i="4" s="1"/>
  <c r="D488" i="3"/>
  <c r="C117" i="4"/>
  <c r="E117" i="4" s="1"/>
  <c r="C1835" i="3"/>
  <c r="C1793" i="3" s="1"/>
  <c r="C1794" i="3" s="1"/>
  <c r="D517" i="3"/>
  <c r="D516" i="3" s="1"/>
  <c r="E352" i="3"/>
  <c r="E294" i="3" s="1"/>
  <c r="D1113" i="3"/>
  <c r="D1120" i="3" s="1"/>
  <c r="D1037" i="3" s="1"/>
  <c r="E1113" i="3"/>
  <c r="D352" i="3"/>
  <c r="D294" i="3" s="1"/>
  <c r="E7" i="8"/>
  <c r="E558" i="3"/>
  <c r="E557" i="3" s="1"/>
  <c r="G1599" i="91"/>
  <c r="G1621" i="91" s="1"/>
  <c r="F1071" i="91"/>
  <c r="C270" i="3"/>
  <c r="C36" i="3" s="1"/>
  <c r="C37" i="3" s="1"/>
  <c r="B11" i="92"/>
  <c r="AN11" i="92" s="1"/>
  <c r="E489" i="3"/>
  <c r="E488" i="3" s="1"/>
  <c r="C1113" i="3"/>
  <c r="C1120" i="3" s="1"/>
  <c r="C1037" i="3" s="1"/>
  <c r="E2813" i="91"/>
  <c r="E841" i="3"/>
  <c r="E840" i="3" s="1"/>
  <c r="D840" i="3"/>
  <c r="E46" i="3"/>
  <c r="D1426" i="3"/>
  <c r="E1427" i="3"/>
  <c r="D1412" i="3"/>
  <c r="D1411" i="3" s="1"/>
  <c r="D213" i="3"/>
  <c r="C211" i="3"/>
  <c r="C1884" i="3"/>
  <c r="C121" i="4" s="1"/>
  <c r="D1886" i="3"/>
  <c r="D1986" i="3"/>
  <c r="C1984" i="3"/>
  <c r="L4" i="92"/>
  <c r="AN4" i="92"/>
  <c r="C82" i="4"/>
  <c r="C1279" i="3"/>
  <c r="C1236" i="3" s="1"/>
  <c r="C1237" i="3" s="1"/>
  <c r="C1627" i="3"/>
  <c r="C105" i="4" s="1"/>
  <c r="D1629" i="3"/>
  <c r="C1952" i="3"/>
  <c r="C1913" i="3" s="1"/>
  <c r="D123" i="4"/>
  <c r="E123" i="4" s="1"/>
  <c r="C1934" i="3"/>
  <c r="D851" i="3"/>
  <c r="C849" i="3"/>
  <c r="C982" i="3"/>
  <c r="C64" i="4" s="1"/>
  <c r="D984" i="3"/>
  <c r="C1086" i="3"/>
  <c r="D1088" i="3"/>
  <c r="D702" i="3"/>
  <c r="E717" i="3"/>
  <c r="C1589" i="3"/>
  <c r="D1590" i="3"/>
  <c r="C553" i="3"/>
  <c r="D555" i="3"/>
  <c r="E1329" i="3"/>
  <c r="E1328" i="3" s="1"/>
  <c r="D1328" i="3"/>
  <c r="C597" i="3"/>
  <c r="D612" i="3"/>
  <c r="C610" i="3"/>
  <c r="E413" i="3"/>
  <c r="L15" i="92"/>
  <c r="AN15" i="92"/>
  <c r="D446" i="3"/>
  <c r="C444" i="3"/>
  <c r="D1714" i="3"/>
  <c r="C1712" i="3"/>
  <c r="B9" i="92"/>
  <c r="B9" i="8"/>
  <c r="AN18" i="92"/>
  <c r="L18" i="92"/>
  <c r="AN5" i="92"/>
  <c r="L5" i="92"/>
  <c r="N5" i="92" s="1"/>
  <c r="AN7" i="92"/>
  <c r="L7" i="92"/>
  <c r="E1767" i="3"/>
  <c r="E1765" i="3" s="1"/>
  <c r="D1765" i="3"/>
  <c r="E4760" i="91"/>
  <c r="F829" i="91"/>
  <c r="G829" i="91" s="1"/>
  <c r="E831" i="91"/>
  <c r="F831" i="91" s="1"/>
  <c r="G831" i="91" s="1"/>
  <c r="E1058" i="3"/>
  <c r="E1184" i="3"/>
  <c r="E1182" i="3" s="1"/>
  <c r="E1189" i="3" s="1"/>
  <c r="E1047" i="3" s="1"/>
  <c r="D1182" i="3"/>
  <c r="D1189" i="3" s="1"/>
  <c r="D1047" i="3" s="1"/>
  <c r="D718" i="3"/>
  <c r="D360" i="3"/>
  <c r="C358" i="3"/>
  <c r="L7" i="8"/>
  <c r="D127" i="4"/>
  <c r="F4084" i="91"/>
  <c r="G4084" i="91" s="1"/>
  <c r="D877" i="3"/>
  <c r="C875" i="3"/>
  <c r="C1059" i="3"/>
  <c r="D1074" i="3"/>
  <c r="C1072" i="3"/>
  <c r="G1015" i="91"/>
  <c r="C183" i="3"/>
  <c r="D185" i="3"/>
  <c r="L5" i="8"/>
  <c r="N5" i="8" s="1"/>
  <c r="E12" i="92"/>
  <c r="AP12" i="92" s="1"/>
  <c r="E12" i="8"/>
  <c r="D48" i="3"/>
  <c r="E62" i="3"/>
  <c r="E48" i="3" s="1"/>
  <c r="D24" i="4"/>
  <c r="D1813" i="3"/>
  <c r="E1829" i="3"/>
  <c r="F4339" i="91"/>
  <c r="B10" i="8"/>
  <c r="B10" i="92"/>
  <c r="D2000" i="3"/>
  <c r="E2001" i="3"/>
  <c r="E2000" i="3" s="1"/>
  <c r="D108" i="4"/>
  <c r="F4396" i="91"/>
  <c r="G4396" i="91" s="1"/>
  <c r="E4402" i="91"/>
  <c r="F4402" i="91" s="1"/>
  <c r="G4402" i="91" s="1"/>
  <c r="D334" i="3"/>
  <c r="C332" i="3"/>
  <c r="D1410" i="3"/>
  <c r="E1425" i="3"/>
  <c r="E1410" i="3" s="1"/>
  <c r="D2079" i="3"/>
  <c r="C2077" i="3"/>
  <c r="G4137" i="91"/>
  <c r="G4140" i="91" s="1"/>
  <c r="F4140" i="91"/>
  <c r="C2023" i="3"/>
  <c r="F4568" i="91"/>
  <c r="E4577" i="91"/>
  <c r="E4579" i="91" s="1"/>
  <c r="E4576" i="91"/>
  <c r="F4576" i="91" s="1"/>
  <c r="G4576" i="91" s="1"/>
  <c r="C2010" i="3"/>
  <c r="F4543" i="91"/>
  <c r="G4543" i="91" s="1"/>
  <c r="E4550" i="91"/>
  <c r="F4550" i="91" s="1"/>
  <c r="G4550" i="91" s="1"/>
  <c r="B14" i="92"/>
  <c r="B14" i="8"/>
  <c r="C250" i="3"/>
  <c r="D252" i="3"/>
  <c r="E1832" i="3"/>
  <c r="L8" i="8"/>
  <c r="C1752" i="3"/>
  <c r="C113" i="4" s="1"/>
  <c r="D1754" i="3"/>
  <c r="F2219" i="91"/>
  <c r="D171" i="3"/>
  <c r="C169" i="3"/>
  <c r="D128" i="4"/>
  <c r="D1605" i="3"/>
  <c r="C1604" i="3"/>
  <c r="D61" i="3"/>
  <c r="C59" i="3"/>
  <c r="C7" i="4" s="1"/>
  <c r="D1973" i="3"/>
  <c r="C1972" i="3"/>
  <c r="C125" i="4" s="1"/>
  <c r="C484" i="3"/>
  <c r="D486" i="3"/>
  <c r="C155" i="3"/>
  <c r="D157" i="3"/>
  <c r="D86" i="4"/>
  <c r="E86" i="4" s="1"/>
  <c r="C1331" i="3"/>
  <c r="C1239" i="3" s="1"/>
  <c r="D825" i="3"/>
  <c r="C823" i="3"/>
  <c r="D1157" i="3"/>
  <c r="C1155" i="3"/>
  <c r="L4" i="8"/>
  <c r="L15" i="8"/>
  <c r="D129" i="4"/>
  <c r="E743" i="3"/>
  <c r="E596" i="3"/>
  <c r="C1856" i="3"/>
  <c r="D1858" i="3"/>
  <c r="E1429" i="91"/>
  <c r="F1429" i="91" s="1"/>
  <c r="G1429" i="91" s="1"/>
  <c r="F1428" i="91"/>
  <c r="G1428" i="91" s="1"/>
  <c r="E628" i="3"/>
  <c r="C77" i="4"/>
  <c r="E77" i="4" s="1"/>
  <c r="C1189" i="3"/>
  <c r="C1047" i="3" s="1"/>
  <c r="D107" i="4"/>
  <c r="D124" i="4"/>
  <c r="D105" i="4"/>
  <c r="E513" i="3"/>
  <c r="D1587" i="3"/>
  <c r="C1585" i="3"/>
  <c r="C102" i="4" s="1"/>
  <c r="D755" i="3"/>
  <c r="D762" i="3" s="1"/>
  <c r="D680" i="3" s="1"/>
  <c r="E757" i="3"/>
  <c r="E755" i="3" s="1"/>
  <c r="E762" i="3" s="1"/>
  <c r="E680" i="3" s="1"/>
  <c r="E2050" i="3"/>
  <c r="F4437" i="91"/>
  <c r="G4437" i="91" s="1"/>
  <c r="E4446" i="91"/>
  <c r="F4446" i="91" s="1"/>
  <c r="G4446" i="91" s="1"/>
  <c r="C197" i="3"/>
  <c r="D199" i="3"/>
  <c r="D1658" i="3"/>
  <c r="C1656" i="3"/>
  <c r="C107" i="4" s="1"/>
  <c r="C1169" i="3"/>
  <c r="D1171" i="3"/>
  <c r="E1289" i="3"/>
  <c r="C1173" i="3"/>
  <c r="D76" i="4" s="1"/>
  <c r="D1174" i="3"/>
  <c r="C48" i="4"/>
  <c r="C723" i="3"/>
  <c r="C677" i="3" s="1"/>
  <c r="E1964" i="3"/>
  <c r="E1963" i="3" s="1"/>
  <c r="D1963" i="3"/>
  <c r="D1744" i="3"/>
  <c r="E1745" i="3"/>
  <c r="C1998" i="3"/>
  <c r="F4517" i="91"/>
  <c r="G4517" i="91" s="1"/>
  <c r="E4523" i="91"/>
  <c r="F4523" i="91" s="1"/>
  <c r="G4523" i="91" s="1"/>
  <c r="C762" i="3"/>
  <c r="C680" i="3" s="1"/>
  <c r="C51" i="4"/>
  <c r="E51" i="4" s="1"/>
  <c r="D63" i="3"/>
  <c r="D50" i="3"/>
  <c r="D49" i="3" s="1"/>
  <c r="E64" i="3"/>
  <c r="C1846" i="3"/>
  <c r="D1847" i="3"/>
  <c r="C1817" i="3"/>
  <c r="C1816" i="3" s="1"/>
  <c r="B16" i="92"/>
  <c r="B16" i="8"/>
  <c r="G4339" i="91"/>
  <c r="G4630" i="91"/>
  <c r="G4758" i="91" s="1"/>
  <c r="F4758" i="91"/>
  <c r="C141" i="3"/>
  <c r="D143" i="3"/>
  <c r="D1129" i="3"/>
  <c r="C1127" i="3"/>
  <c r="G828" i="91"/>
  <c r="D1783" i="3"/>
  <c r="C1782" i="3"/>
  <c r="E475" i="3"/>
  <c r="E474" i="3" s="1"/>
  <c r="D474" i="3"/>
  <c r="C2103" i="3"/>
  <c r="D2105" i="3"/>
  <c r="C78" i="4"/>
  <c r="E78" i="4" s="1"/>
  <c r="C1201" i="3"/>
  <c r="C1048" i="3" s="1"/>
  <c r="D642" i="3"/>
  <c r="C641" i="3"/>
  <c r="C600" i="3"/>
  <c r="C599" i="3" s="1"/>
  <c r="C654" i="3"/>
  <c r="D655" i="3"/>
  <c r="C1869" i="3"/>
  <c r="D1871" i="3"/>
  <c r="D527" i="3"/>
  <c r="C514" i="3"/>
  <c r="C525" i="3"/>
  <c r="D1260" i="3"/>
  <c r="E1288" i="3"/>
  <c r="E1260" i="3" s="1"/>
  <c r="D267" i="3"/>
  <c r="D270" i="3" s="1"/>
  <c r="D36" i="3" s="1"/>
  <c r="D37" i="3" s="1"/>
  <c r="E268" i="3"/>
  <c r="E267" i="3" s="1"/>
  <c r="E270" i="3" s="1"/>
  <c r="E36" i="3" s="1"/>
  <c r="E37" i="3" s="1"/>
  <c r="E21" i="4"/>
  <c r="C998" i="3"/>
  <c r="D999" i="3"/>
  <c r="C899" i="3"/>
  <c r="D901" i="3"/>
  <c r="F4759" i="91"/>
  <c r="G4636" i="91"/>
  <c r="G4759" i="91" s="1"/>
  <c r="F4481" i="91"/>
  <c r="G4481" i="91" s="1"/>
  <c r="E4490" i="91"/>
  <c r="F4490" i="91" s="1"/>
  <c r="G4490" i="91" s="1"/>
  <c r="D1571" i="3"/>
  <c r="C1569" i="3"/>
  <c r="F1622" i="91"/>
  <c r="D84" i="4"/>
  <c r="C1613" i="3"/>
  <c r="C104" i="4" s="1"/>
  <c r="D1615" i="3"/>
  <c r="G3156" i="91"/>
  <c r="G2801" i="91"/>
  <c r="G2811" i="91" s="1"/>
  <c r="F2811" i="91"/>
  <c r="D2066" i="3"/>
  <c r="C2051" i="3"/>
  <c r="C2064" i="3"/>
  <c r="E4340" i="91"/>
  <c r="C1600" i="3"/>
  <c r="C103" i="4" s="1"/>
  <c r="D1602" i="3"/>
  <c r="D226" i="3"/>
  <c r="C224" i="3"/>
  <c r="E1643" i="3"/>
  <c r="D1642" i="3"/>
  <c r="D1649" i="3" s="1"/>
  <c r="D1530" i="3" s="1"/>
  <c r="D1531" i="3" s="1"/>
  <c r="D1553" i="3"/>
  <c r="D1889" i="3"/>
  <c r="C1888" i="3"/>
  <c r="G1622" i="91"/>
  <c r="D930" i="3"/>
  <c r="C929" i="3"/>
  <c r="D61" i="4" s="1"/>
  <c r="F1204" i="91"/>
  <c r="E1160" i="3"/>
  <c r="E1159" i="3" s="1"/>
  <c r="D1159" i="3"/>
  <c r="E1697" i="3"/>
  <c r="D996" i="3"/>
  <c r="C994" i="3"/>
  <c r="C65" i="4" s="1"/>
  <c r="C959" i="3"/>
  <c r="C958" i="3" s="1"/>
  <c r="C986" i="3"/>
  <c r="D987" i="3"/>
  <c r="C624" i="3"/>
  <c r="D626" i="3"/>
  <c r="D1945" i="3"/>
  <c r="E1946" i="3"/>
  <c r="C1226" i="3"/>
  <c r="D80" i="4" s="1"/>
  <c r="D1227" i="3"/>
  <c r="D1377" i="3"/>
  <c r="C1375" i="3"/>
  <c r="E389" i="3"/>
  <c r="E388" i="3" s="1"/>
  <c r="D388" i="3"/>
  <c r="D2092" i="3"/>
  <c r="C2090" i="3"/>
  <c r="C1740" i="3"/>
  <c r="D1742" i="3"/>
  <c r="C56" i="4"/>
  <c r="E56" i="4" s="1"/>
  <c r="C869" i="3"/>
  <c r="C690" i="3" s="1"/>
  <c r="D746" i="3"/>
  <c r="E747" i="3"/>
  <c r="D1258" i="3"/>
  <c r="E1273" i="3"/>
  <c r="D34" i="4"/>
  <c r="E970" i="3"/>
  <c r="D113" i="4"/>
  <c r="E864" i="3"/>
  <c r="E862" i="3" s="1"/>
  <c r="E869" i="3" s="1"/>
  <c r="E690" i="3" s="1"/>
  <c r="D862" i="3"/>
  <c r="D869" i="3" s="1"/>
  <c r="D690" i="3" s="1"/>
  <c r="D669" i="3"/>
  <c r="C668" i="3"/>
  <c r="C671" i="3" s="1"/>
  <c r="C587" i="3" s="1"/>
  <c r="E461" i="3"/>
  <c r="E460" i="3" s="1"/>
  <c r="D460" i="3"/>
  <c r="E1203" i="91"/>
  <c r="E1205" i="91" s="1"/>
  <c r="G2398" i="91"/>
  <c r="G2477" i="91" s="1"/>
  <c r="G2809" i="91"/>
  <c r="G2812" i="91" s="1"/>
  <c r="F2812" i="91"/>
  <c r="E1757" i="3"/>
  <c r="E1756" i="3" s="1"/>
  <c r="D1756" i="3"/>
  <c r="L6" i="8"/>
  <c r="E306" i="3"/>
  <c r="D968" i="3"/>
  <c r="D975" i="3" s="1"/>
  <c r="D940" i="3" s="1"/>
  <c r="D941" i="3" s="1"/>
  <c r="E969" i="3"/>
  <c r="D955" i="3"/>
  <c r="D1352" i="3"/>
  <c r="C1350" i="3"/>
  <c r="C88" i="4" s="1"/>
  <c r="E447" i="3"/>
  <c r="E415" i="3" s="1"/>
  <c r="D415" i="3"/>
  <c r="L11" i="8"/>
  <c r="C1099" i="3"/>
  <c r="D1101" i="3"/>
  <c r="D1274" i="3"/>
  <c r="D1272" i="3" s="1"/>
  <c r="D1279" i="3" s="1"/>
  <c r="D1236" i="3" s="1"/>
  <c r="D1237" i="3" s="1"/>
  <c r="D639" i="3"/>
  <c r="C637" i="3"/>
  <c r="C45" i="4" s="1"/>
  <c r="AN6" i="92"/>
  <c r="L6" i="92"/>
  <c r="E363" i="3"/>
  <c r="D362" i="3"/>
  <c r="D310" i="3"/>
  <c r="D309" i="3" s="1"/>
  <c r="C63" i="4"/>
  <c r="C975" i="3"/>
  <c r="C940" i="3" s="1"/>
  <c r="C941" i="3" s="1"/>
  <c r="F4338" i="91"/>
  <c r="G4185" i="91"/>
  <c r="G4338" i="91" s="1"/>
  <c r="C1131" i="3"/>
  <c r="D73" i="4" s="1"/>
  <c r="D1132" i="3"/>
  <c r="C1062" i="3"/>
  <c r="C1061" i="3" s="1"/>
  <c r="D458" i="3"/>
  <c r="C456" i="3"/>
  <c r="C34" i="4" s="1"/>
  <c r="E1196" i="3"/>
  <c r="E1194" i="3" s="1"/>
  <c r="E1201" i="3" s="1"/>
  <c r="E1048" i="3" s="1"/>
  <c r="D1194" i="3"/>
  <c r="D1201" i="3" s="1"/>
  <c r="D1048" i="3" s="1"/>
  <c r="E1630" i="3"/>
  <c r="E1555" i="3" s="1"/>
  <c r="D1555" i="3"/>
  <c r="C650" i="3"/>
  <c r="C46" i="4" s="1"/>
  <c r="D652" i="3"/>
  <c r="E13" i="92"/>
  <c r="AP13" i="92" s="1"/>
  <c r="E13" i="8"/>
  <c r="D1770" i="3"/>
  <c r="C1769" i="3"/>
  <c r="B13" i="8"/>
  <c r="B13" i="92"/>
  <c r="E1947" i="3"/>
  <c r="C2068" i="3"/>
  <c r="D2069" i="3"/>
  <c r="E1304" i="3"/>
  <c r="E1303" i="3" s="1"/>
  <c r="D1303" i="3"/>
  <c r="D1960" i="3"/>
  <c r="C1959" i="3"/>
  <c r="C124" i="4" s="1"/>
  <c r="D1438" i="3"/>
  <c r="C1436" i="3"/>
  <c r="E1844" i="3"/>
  <c r="E1842" i="3" s="1"/>
  <c r="D1842" i="3"/>
  <c r="D1210" i="3"/>
  <c r="C1208" i="3"/>
  <c r="D125" i="4"/>
  <c r="C1222" i="3"/>
  <c r="D1224" i="3"/>
  <c r="C1814" i="3"/>
  <c r="D1830" i="3"/>
  <c r="D1828" i="3" s="1"/>
  <c r="D1835" i="3" s="1"/>
  <c r="D1793" i="3" s="1"/>
  <c r="D1794" i="3" s="1"/>
  <c r="D37" i="4"/>
  <c r="C8" i="16" s="1"/>
  <c r="E1950" i="3"/>
  <c r="D1949" i="3"/>
  <c r="D541" i="3"/>
  <c r="C539" i="3"/>
  <c r="D927" i="3"/>
  <c r="C925" i="3"/>
  <c r="C1449" i="3"/>
  <c r="D1451" i="3"/>
  <c r="C276" i="3"/>
  <c r="D278" i="3"/>
  <c r="C1019" i="3"/>
  <c r="D1021" i="3"/>
  <c r="C1141" i="3"/>
  <c r="D1143" i="3"/>
  <c r="F329" i="91"/>
  <c r="G329" i="91" s="1"/>
  <c r="E1376" i="91"/>
  <c r="F1376" i="91" s="1"/>
  <c r="G1376" i="91" s="1"/>
  <c r="C58" i="4"/>
  <c r="E58" i="4" s="1"/>
  <c r="C894" i="3"/>
  <c r="L8" i="92"/>
  <c r="AN8" i="92"/>
  <c r="E1728" i="3"/>
  <c r="E1726" i="3" s="1"/>
  <c r="E1733" i="3" s="1"/>
  <c r="E1683" i="3" s="1"/>
  <c r="E1684" i="3" s="1"/>
  <c r="D1726" i="3"/>
  <c r="D1733" i="3" s="1"/>
  <c r="D1683" i="3" s="1"/>
  <c r="D1684" i="3" s="1"/>
  <c r="G1071" i="91"/>
  <c r="B12" i="8"/>
  <c r="B12" i="92"/>
  <c r="E1326" i="3" l="1"/>
  <c r="E1324" i="3" s="1"/>
  <c r="C1299" i="3"/>
  <c r="C84" i="4" s="1"/>
  <c r="K66" i="39"/>
  <c r="G4776" i="91"/>
  <c r="K63" i="39"/>
  <c r="K65" i="39"/>
  <c r="O61" i="39"/>
  <c r="I68" i="39"/>
  <c r="Q61" i="39"/>
  <c r="H19" i="92"/>
  <c r="H19" i="8"/>
  <c r="F2478" i="91"/>
  <c r="D780" i="3"/>
  <c r="D787" i="3" s="1"/>
  <c r="D681" i="3" s="1"/>
  <c r="F1430" i="91"/>
  <c r="F1432" i="91" s="1"/>
  <c r="C319" i="3"/>
  <c r="C326" i="3" s="1"/>
  <c r="C291" i="3" s="1"/>
  <c r="C292" i="3" s="1"/>
  <c r="G4139" i="91"/>
  <c r="G4141" i="91" s="1"/>
  <c r="C73" i="3"/>
  <c r="C80" i="3" s="1"/>
  <c r="C9" i="3" s="1"/>
  <c r="C10" i="3" s="1"/>
  <c r="F1624" i="91"/>
  <c r="D73" i="3"/>
  <c r="D80" i="3" s="1"/>
  <c r="D9" i="3" s="1"/>
  <c r="D10" i="3" s="1"/>
  <c r="C742" i="3"/>
  <c r="C50" i="4" s="1"/>
  <c r="E50" i="4" s="1"/>
  <c r="C1778" i="3"/>
  <c r="C115" i="4" s="1"/>
  <c r="F835" i="91"/>
  <c r="D1780" i="3"/>
  <c r="D1698" i="3" s="1"/>
  <c r="D1696" i="3" s="1"/>
  <c r="D321" i="3"/>
  <c r="D307" i="3" s="1"/>
  <c r="D305" i="3" s="1"/>
  <c r="D312" i="3" s="1"/>
  <c r="C911" i="3"/>
  <c r="C60" i="4" s="1"/>
  <c r="E60" i="4" s="1"/>
  <c r="E783" i="3"/>
  <c r="E780" i="3" s="1"/>
  <c r="E787" i="3" s="1"/>
  <c r="E681" i="3" s="1"/>
  <c r="E913" i="3"/>
  <c r="E911" i="3" s="1"/>
  <c r="E918" i="3" s="1"/>
  <c r="E742" i="3"/>
  <c r="D1617" i="3"/>
  <c r="G1203" i="91"/>
  <c r="G1205" i="91" s="1"/>
  <c r="E2222" i="91"/>
  <c r="C1668" i="3"/>
  <c r="C108" i="4" s="1"/>
  <c r="E108" i="4" s="1"/>
  <c r="C1557" i="3"/>
  <c r="C1556" i="3" s="1"/>
  <c r="E14" i="92" s="1"/>
  <c r="AP14" i="92" s="1"/>
  <c r="D828" i="3"/>
  <c r="E828" i="3" s="1"/>
  <c r="E827" i="3" s="1"/>
  <c r="C1363" i="3"/>
  <c r="C89" i="4" s="1"/>
  <c r="E89" i="4" s="1"/>
  <c r="C29" i="4"/>
  <c r="E29" i="4" s="1"/>
  <c r="D742" i="3"/>
  <c r="D749" i="3" s="1"/>
  <c r="D679" i="3" s="1"/>
  <c r="D1287" i="3"/>
  <c r="D1285" i="3" s="1"/>
  <c r="D1292" i="3" s="1"/>
  <c r="D1250" i="3" s="1"/>
  <c r="D1251" i="3" s="1"/>
  <c r="D1408" i="3"/>
  <c r="C1617" i="3"/>
  <c r="D104" i="4" s="1"/>
  <c r="E104" i="4" s="1"/>
  <c r="C391" i="3"/>
  <c r="C298" i="3" s="1"/>
  <c r="C299" i="3" s="1"/>
  <c r="D1670" i="3"/>
  <c r="D1554" i="3" s="1"/>
  <c r="D1552" i="3" s="1"/>
  <c r="D1514" i="3"/>
  <c r="D1521" i="3" s="1"/>
  <c r="D1399" i="3" s="1"/>
  <c r="D1672" i="3"/>
  <c r="C106" i="4"/>
  <c r="E106" i="4" s="1"/>
  <c r="C703" i="3"/>
  <c r="C701" i="3" s="1"/>
  <c r="E391" i="3"/>
  <c r="E298" i="3" s="1"/>
  <c r="E299" i="3" s="1"/>
  <c r="D1504" i="3"/>
  <c r="D1502" i="3" s="1"/>
  <c r="D1509" i="3" s="1"/>
  <c r="D1398" i="3" s="1"/>
  <c r="D1354" i="3"/>
  <c r="D1262" i="3"/>
  <c r="D1261" i="3" s="1"/>
  <c r="C1336" i="3"/>
  <c r="C87" i="4" s="1"/>
  <c r="E87" i="4" s="1"/>
  <c r="E3013" i="91"/>
  <c r="F3013" i="91" s="1"/>
  <c r="G3013" i="91" s="1"/>
  <c r="D838" i="3"/>
  <c r="E838" i="3" s="1"/>
  <c r="E836" i="3" s="1"/>
  <c r="E843" i="3" s="1"/>
  <c r="E687" i="3" s="1"/>
  <c r="D1424" i="3"/>
  <c r="D1422" i="3" s="1"/>
  <c r="D1429" i="3" s="1"/>
  <c r="D1389" i="3" s="1"/>
  <c r="D1390" i="3" s="1"/>
  <c r="F3869" i="91"/>
  <c r="C1514" i="3"/>
  <c r="C99" i="4" s="1"/>
  <c r="E99" i="4" s="1"/>
  <c r="C1552" i="3"/>
  <c r="F3225" i="91"/>
  <c r="G3225" i="91" s="1"/>
  <c r="F3158" i="91"/>
  <c r="G3158" i="91" s="1"/>
  <c r="G3866" i="91"/>
  <c r="G3869" i="91" s="1"/>
  <c r="D1660" i="3"/>
  <c r="C87" i="3"/>
  <c r="C9" i="4" s="1"/>
  <c r="E9" i="4" s="1"/>
  <c r="C1312" i="3"/>
  <c r="C1319" i="3" s="1"/>
  <c r="C1238" i="3" s="1"/>
  <c r="C1240" i="3" s="1"/>
  <c r="D47" i="4"/>
  <c r="C10" i="16" s="1"/>
  <c r="E3721" i="91"/>
  <c r="F3721" i="91" s="1"/>
  <c r="G3721" i="91" s="1"/>
  <c r="E4" i="92"/>
  <c r="AP4" i="92" s="1"/>
  <c r="E3869" i="91"/>
  <c r="C1259" i="3"/>
  <c r="C1257" i="3" s="1"/>
  <c r="C1264" i="3" s="1"/>
  <c r="E889" i="3"/>
  <c r="E887" i="3" s="1"/>
  <c r="E894" i="3" s="1"/>
  <c r="F1202" i="91"/>
  <c r="C1476" i="3"/>
  <c r="C96" i="4" s="1"/>
  <c r="E96" i="4" s="1"/>
  <c r="D391" i="3"/>
  <c r="D298" i="3" s="1"/>
  <c r="D299" i="3" s="1"/>
  <c r="F333" i="91"/>
  <c r="G333" i="91" s="1"/>
  <c r="C956" i="3"/>
  <c r="C954" i="3" s="1"/>
  <c r="C961" i="3" s="1"/>
  <c r="D129" i="3"/>
  <c r="D127" i="3" s="1"/>
  <c r="D134" i="3" s="1"/>
  <c r="D17" i="3" s="1"/>
  <c r="D18" i="3" s="1"/>
  <c r="E3364" i="91"/>
  <c r="C1409" i="3"/>
  <c r="C1407" i="3" s="1"/>
  <c r="C1414" i="3" s="1"/>
  <c r="D1007" i="3"/>
  <c r="D1014" i="3" s="1"/>
  <c r="D945" i="3" s="1"/>
  <c r="C114" i="3"/>
  <c r="C121" i="3" s="1"/>
  <c r="C15" i="3" s="1"/>
  <c r="C16" i="3" s="1"/>
  <c r="E3867" i="91"/>
  <c r="F3867" i="91" s="1"/>
  <c r="G3867" i="91" s="1"/>
  <c r="F3991" i="91"/>
  <c r="G3991" i="91" s="1"/>
  <c r="C1489" i="3"/>
  <c r="C1496" i="3" s="1"/>
  <c r="C1397" i="3" s="1"/>
  <c r="C706" i="3"/>
  <c r="C705" i="3" s="1"/>
  <c r="E9" i="8" s="1"/>
  <c r="AA23" i="8" s="1"/>
  <c r="F3268" i="91"/>
  <c r="G3268" i="91" s="1"/>
  <c r="G3474" i="91"/>
  <c r="G3476" i="91" s="1"/>
  <c r="F1203" i="91"/>
  <c r="F1205" i="91" s="1"/>
  <c r="E2013" i="91"/>
  <c r="F2013" i="91" s="1"/>
  <c r="G2013" i="91" s="1"/>
  <c r="E3868" i="91"/>
  <c r="E2221" i="91"/>
  <c r="G1432" i="91"/>
  <c r="C1462" i="3"/>
  <c r="C95" i="4" s="1"/>
  <c r="E95" i="4" s="1"/>
  <c r="D472" i="3"/>
  <c r="D414" i="3" s="1"/>
  <c r="D412" i="3" s="1"/>
  <c r="D419" i="3" s="1"/>
  <c r="E836" i="91"/>
  <c r="F242" i="91"/>
  <c r="G242" i="91" s="1"/>
  <c r="E2152" i="91"/>
  <c r="F2152" i="91" s="1"/>
  <c r="G2152" i="91" s="1"/>
  <c r="D1464" i="3"/>
  <c r="E1464" i="3" s="1"/>
  <c r="E1462" i="3" s="1"/>
  <c r="E1469" i="3" s="1"/>
  <c r="E1393" i="3" s="1"/>
  <c r="E1394" i="3" s="1"/>
  <c r="C1429" i="3"/>
  <c r="C1389" i="3" s="1"/>
  <c r="C1390" i="3" s="1"/>
  <c r="C470" i="3"/>
  <c r="C35" i="4" s="1"/>
  <c r="E35" i="4" s="1"/>
  <c r="F4139" i="91"/>
  <c r="F4141" i="91" s="1"/>
  <c r="G2478" i="91"/>
  <c r="G3161" i="91"/>
  <c r="G3163" i="91" s="1"/>
  <c r="F3161" i="91"/>
  <c r="F3163" i="91" s="1"/>
  <c r="E1973" i="91"/>
  <c r="F1973" i="91" s="1"/>
  <c r="G1973" i="91" s="1"/>
  <c r="F2218" i="91"/>
  <c r="F2221" i="91" s="1"/>
  <c r="E2220" i="91"/>
  <c r="F2220" i="91" s="1"/>
  <c r="G2220" i="91" s="1"/>
  <c r="C1007" i="3"/>
  <c r="C66" i="4" s="1"/>
  <c r="E66" i="4" s="1"/>
  <c r="B17" i="92"/>
  <c r="B20" i="92" s="1"/>
  <c r="AN20" i="92" s="1"/>
  <c r="D1631" i="3"/>
  <c r="F3474" i="91"/>
  <c r="F3476" i="91" s="1"/>
  <c r="D239" i="3"/>
  <c r="D237" i="3" s="1"/>
  <c r="D244" i="3" s="1"/>
  <c r="D32" i="3" s="1"/>
  <c r="D33" i="3" s="1"/>
  <c r="E3473" i="91"/>
  <c r="C47" i="3"/>
  <c r="C4" i="8" s="1"/>
  <c r="G834" i="91"/>
  <c r="G836" i="91" s="1"/>
  <c r="F834" i="91"/>
  <c r="E1977" i="3"/>
  <c r="E1976" i="3" s="1"/>
  <c r="E15" i="92"/>
  <c r="AP15" i="92" s="1"/>
  <c r="G4340" i="91"/>
  <c r="D1701" i="3"/>
  <c r="D1700" i="3" s="1"/>
  <c r="D2012" i="3"/>
  <c r="G1624" i="91"/>
  <c r="C1733" i="3"/>
  <c r="C1683" i="3" s="1"/>
  <c r="C1684" i="3" s="1"/>
  <c r="C72" i="4"/>
  <c r="E72" i="4" s="1"/>
  <c r="E6" i="92"/>
  <c r="AP6" i="92" s="1"/>
  <c r="D2025" i="3"/>
  <c r="E34" i="4"/>
  <c r="D1935" i="3"/>
  <c r="E432" i="3"/>
  <c r="E430" i="3" s="1"/>
  <c r="E437" i="3" s="1"/>
  <c r="E397" i="3" s="1"/>
  <c r="E398" i="3" s="1"/>
  <c r="C54" i="4"/>
  <c r="E54" i="4" s="1"/>
  <c r="C843" i="3"/>
  <c r="C687" i="3" s="1"/>
  <c r="E88" i="4"/>
  <c r="F1073" i="91"/>
  <c r="D1557" i="3"/>
  <c r="D1556" i="3" s="1"/>
  <c r="E1120" i="3"/>
  <c r="E1037" i="3" s="1"/>
  <c r="L11" i="92"/>
  <c r="D81" i="4"/>
  <c r="C13" i="16" s="1"/>
  <c r="D691" i="3"/>
  <c r="C1966" i="3"/>
  <c r="C1916" i="3" s="1"/>
  <c r="C1917" i="3" s="1"/>
  <c r="E417" i="3"/>
  <c r="E416" i="3" s="1"/>
  <c r="E113" i="4"/>
  <c r="E125" i="4"/>
  <c r="B20" i="8"/>
  <c r="B25" i="8" s="1"/>
  <c r="E517" i="3"/>
  <c r="E516" i="3" s="1"/>
  <c r="C66" i="3"/>
  <c r="C7" i="3" s="1"/>
  <c r="C8" i="3" s="1"/>
  <c r="C1634" i="3"/>
  <c r="C1538" i="3" s="1"/>
  <c r="C1539" i="3" s="1"/>
  <c r="C16" i="8"/>
  <c r="D16" i="8" s="1"/>
  <c r="C16" i="92"/>
  <c r="AO16" i="92" s="1"/>
  <c r="D2090" i="3"/>
  <c r="D2097" i="3" s="1"/>
  <c r="D2038" i="3" s="1"/>
  <c r="E2092" i="3"/>
  <c r="E2090" i="3" s="1"/>
  <c r="E2097" i="3" s="1"/>
  <c r="E2038" i="3" s="1"/>
  <c r="E1642" i="3"/>
  <c r="E1649" i="3" s="1"/>
  <c r="E1530" i="3" s="1"/>
  <c r="E1531" i="3" s="1"/>
  <c r="E1553" i="3"/>
  <c r="D2051" i="3"/>
  <c r="D2049" i="3" s="1"/>
  <c r="E2066" i="3"/>
  <c r="D2064" i="3"/>
  <c r="D899" i="3"/>
  <c r="D906" i="3" s="1"/>
  <c r="D689" i="3" s="1"/>
  <c r="E901" i="3"/>
  <c r="E899" i="3" s="1"/>
  <c r="E906" i="3" s="1"/>
  <c r="E689" i="3" s="1"/>
  <c r="C1357" i="3"/>
  <c r="C1243" i="3" s="1"/>
  <c r="C1244" i="3" s="1"/>
  <c r="E718" i="3"/>
  <c r="E716" i="3" s="1"/>
  <c r="E723" i="3" s="1"/>
  <c r="E677" i="3" s="1"/>
  <c r="C83" i="4"/>
  <c r="E83" i="4" s="1"/>
  <c r="C1292" i="3"/>
  <c r="C1250" i="3" s="1"/>
  <c r="C1251" i="3" s="1"/>
  <c r="C1592" i="3"/>
  <c r="C1532" i="3" s="1"/>
  <c r="C1533" i="3" s="1"/>
  <c r="D102" i="4"/>
  <c r="E102" i="4" s="1"/>
  <c r="D1141" i="3"/>
  <c r="D1148" i="3" s="1"/>
  <c r="D1039" i="3" s="1"/>
  <c r="E1143" i="3"/>
  <c r="E1141" i="3" s="1"/>
  <c r="E1148" i="3" s="1"/>
  <c r="E1039" i="3" s="1"/>
  <c r="C906" i="3"/>
  <c r="C689" i="3" s="1"/>
  <c r="C59" i="4"/>
  <c r="E59" i="4" s="1"/>
  <c r="L12" i="92"/>
  <c r="AN12" i="92"/>
  <c r="E1451" i="3"/>
  <c r="E1449" i="3" s="1"/>
  <c r="E1456" i="3" s="1"/>
  <c r="E1396" i="3" s="1"/>
  <c r="D1449" i="3"/>
  <c r="D1456" i="3" s="1"/>
  <c r="D1396" i="3" s="1"/>
  <c r="D1208" i="3"/>
  <c r="D1215" i="3" s="1"/>
  <c r="D1049" i="3" s="1"/>
  <c r="E1210" i="3"/>
  <c r="E1208" i="3" s="1"/>
  <c r="E1215" i="3" s="1"/>
  <c r="E1049" i="3" s="1"/>
  <c r="AN13" i="92"/>
  <c r="L13" i="92"/>
  <c r="D46" i="4"/>
  <c r="E46" i="4" s="1"/>
  <c r="C657" i="3"/>
  <c r="C586" i="3" s="1"/>
  <c r="C1996" i="3"/>
  <c r="D1998" i="3"/>
  <c r="C1932" i="3"/>
  <c r="C6" i="16"/>
  <c r="E1491" i="3"/>
  <c r="E1489" i="3" s="1"/>
  <c r="E1496" i="3" s="1"/>
  <c r="E1397" i="3" s="1"/>
  <c r="D1489" i="3"/>
  <c r="D1496" i="3" s="1"/>
  <c r="D1397" i="3" s="1"/>
  <c r="E360" i="3"/>
  <c r="E358" i="3" s="1"/>
  <c r="D358" i="3"/>
  <c r="D365" i="3" s="1"/>
  <c r="D295" i="3" s="1"/>
  <c r="E1426" i="3"/>
  <c r="E1412" i="3"/>
  <c r="E1411" i="3" s="1"/>
  <c r="L12" i="8"/>
  <c r="C94" i="4"/>
  <c r="E94" i="4" s="1"/>
  <c r="C1456" i="3"/>
  <c r="C1396" i="3" s="1"/>
  <c r="E63" i="4"/>
  <c r="C18" i="4"/>
  <c r="E18" i="4" s="1"/>
  <c r="C231" i="3"/>
  <c r="C30" i="3" s="1"/>
  <c r="C31" i="3" s="1"/>
  <c r="C73" i="4"/>
  <c r="E73" i="4" s="1"/>
  <c r="C1134" i="3"/>
  <c r="C1038" i="3" s="1"/>
  <c r="E1262" i="3"/>
  <c r="E1261" i="3" s="1"/>
  <c r="C119" i="4"/>
  <c r="C1863" i="3"/>
  <c r="C1795" i="3" s="1"/>
  <c r="C1796" i="3" s="1"/>
  <c r="D1972" i="3"/>
  <c r="D1979" i="3" s="1"/>
  <c r="D1918" i="3" s="1"/>
  <c r="E1973" i="3"/>
  <c r="E1972" i="3" s="1"/>
  <c r="E702" i="3"/>
  <c r="C55" i="4"/>
  <c r="E55" i="4" s="1"/>
  <c r="C856" i="3"/>
  <c r="C688" i="3" s="1"/>
  <c r="C74" i="4"/>
  <c r="E74" i="4" s="1"/>
  <c r="C1148" i="3"/>
  <c r="C1039" i="3" s="1"/>
  <c r="C61" i="4"/>
  <c r="E61" i="4" s="1"/>
  <c r="C932" i="3"/>
  <c r="C693" i="3" s="1"/>
  <c r="C694" i="3" s="1"/>
  <c r="C1229" i="3"/>
  <c r="C1050" i="3" s="1"/>
  <c r="C80" i="4"/>
  <c r="E80" i="4" s="1"/>
  <c r="C2054" i="3"/>
  <c r="C2053" i="3" s="1"/>
  <c r="D131" i="4"/>
  <c r="D130" i="4" s="1"/>
  <c r="C19" i="16" s="1"/>
  <c r="C1576" i="3"/>
  <c r="C1540" i="3" s="1"/>
  <c r="C1541" i="3" s="1"/>
  <c r="C101" i="4"/>
  <c r="C532" i="3"/>
  <c r="C498" i="3" s="1"/>
  <c r="C499" i="3" s="1"/>
  <c r="C38" i="4"/>
  <c r="G3865" i="91"/>
  <c r="G3868" i="91" s="1"/>
  <c r="F3868" i="91"/>
  <c r="L16" i="92"/>
  <c r="AN16" i="92"/>
  <c r="E157" i="3"/>
  <c r="E155" i="3" s="1"/>
  <c r="E162" i="3" s="1"/>
  <c r="E20" i="3" s="1"/>
  <c r="D155" i="3"/>
  <c r="D162" i="3" s="1"/>
  <c r="D20" i="3" s="1"/>
  <c r="E1714" i="3"/>
  <c r="E1712" i="3" s="1"/>
  <c r="E1719" i="3" s="1"/>
  <c r="E1681" i="3" s="1"/>
  <c r="E1682" i="3" s="1"/>
  <c r="D1712" i="3"/>
  <c r="D1719" i="3" s="1"/>
  <c r="D1681" i="3" s="1"/>
  <c r="D1682" i="3" s="1"/>
  <c r="D1331" i="3"/>
  <c r="D1239" i="3" s="1"/>
  <c r="D849" i="3"/>
  <c r="D856" i="3" s="1"/>
  <c r="D688" i="3" s="1"/>
  <c r="E851" i="3"/>
  <c r="E849" i="3" s="1"/>
  <c r="E856" i="3" s="1"/>
  <c r="E688" i="3" s="1"/>
  <c r="E82" i="4"/>
  <c r="D1019" i="3"/>
  <c r="D1026" i="3" s="1"/>
  <c r="D946" i="3" s="1"/>
  <c r="E1021" i="3"/>
  <c r="E1019" i="3" s="1"/>
  <c r="E1026" i="3" s="1"/>
  <c r="E946" i="3" s="1"/>
  <c r="E947" i="3" s="1"/>
  <c r="D68" i="4"/>
  <c r="C12" i="16" s="1"/>
  <c r="F2813" i="91"/>
  <c r="E1602" i="3"/>
  <c r="E1600" i="3" s="1"/>
  <c r="D1600" i="3"/>
  <c r="D998" i="3"/>
  <c r="E999" i="3"/>
  <c r="E998" i="3" s="1"/>
  <c r="C7" i="92"/>
  <c r="C7" i="8"/>
  <c r="D7" i="8" s="1"/>
  <c r="F7" i="8" s="1"/>
  <c r="C512" i="3"/>
  <c r="C519" i="3" s="1"/>
  <c r="C98" i="4"/>
  <c r="E98" i="4" s="1"/>
  <c r="C1509" i="3"/>
  <c r="C1398" i="3" s="1"/>
  <c r="D141" i="3"/>
  <c r="D148" i="3" s="1"/>
  <c r="D19" i="3" s="1"/>
  <c r="E143" i="3"/>
  <c r="E141" i="3" s="1"/>
  <c r="E148" i="3" s="1"/>
  <c r="E19" i="3" s="1"/>
  <c r="D2010" i="3"/>
  <c r="C2008" i="3"/>
  <c r="D875" i="3"/>
  <c r="D882" i="3" s="1"/>
  <c r="D685" i="3" s="1"/>
  <c r="E877" i="3"/>
  <c r="E875" i="3" s="1"/>
  <c r="E882" i="3" s="1"/>
  <c r="E685" i="3" s="1"/>
  <c r="E1331" i="3"/>
  <c r="E1239" i="3" s="1"/>
  <c r="D1436" i="3"/>
  <c r="D1443" i="3" s="1"/>
  <c r="D1391" i="3" s="1"/>
  <c r="D1392" i="3" s="1"/>
  <c r="E1438" i="3"/>
  <c r="E1436" i="3" s="1"/>
  <c r="E1443" i="3" s="1"/>
  <c r="E1391" i="3" s="1"/>
  <c r="E1392" i="3" s="1"/>
  <c r="G2813" i="91"/>
  <c r="E1742" i="3"/>
  <c r="D1740" i="3"/>
  <c r="D1747" i="3" s="1"/>
  <c r="D1685" i="3" s="1"/>
  <c r="E996" i="3"/>
  <c r="E994" i="3" s="1"/>
  <c r="D994" i="3"/>
  <c r="E527" i="3"/>
  <c r="D514" i="3"/>
  <c r="D512" i="3" s="1"/>
  <c r="D519" i="3" s="1"/>
  <c r="D525" i="3"/>
  <c r="D532" i="3" s="1"/>
  <c r="D498" i="3" s="1"/>
  <c r="D499" i="3" s="1"/>
  <c r="E1847" i="3"/>
  <c r="D1846" i="3"/>
  <c r="D1849" i="3" s="1"/>
  <c r="D1799" i="3" s="1"/>
  <c r="D1800" i="3" s="1"/>
  <c r="D1817" i="3"/>
  <c r="D1816" i="3" s="1"/>
  <c r="C76" i="4"/>
  <c r="E76" i="4" s="1"/>
  <c r="C1176" i="3"/>
  <c r="C1045" i="3" s="1"/>
  <c r="C1046" i="3" s="1"/>
  <c r="D484" i="3"/>
  <c r="D491" i="3" s="1"/>
  <c r="D403" i="3" s="1"/>
  <c r="D404" i="3" s="1"/>
  <c r="E486" i="3"/>
  <c r="E484" i="3" s="1"/>
  <c r="E491" i="3" s="1"/>
  <c r="E403" i="3" s="1"/>
  <c r="E404" i="3" s="1"/>
  <c r="L17" i="8"/>
  <c r="D1363" i="3"/>
  <c r="D1370" i="3" s="1"/>
  <c r="D1247" i="3" s="1"/>
  <c r="E1365" i="3"/>
  <c r="E1363" i="3" s="1"/>
  <c r="E1370" i="3" s="1"/>
  <c r="E1247" i="3" s="1"/>
  <c r="C8" i="92"/>
  <c r="C8" i="8"/>
  <c r="D8" i="8" s="1"/>
  <c r="C595" i="3"/>
  <c r="C602" i="3" s="1"/>
  <c r="E1088" i="3"/>
  <c r="E1086" i="3" s="1"/>
  <c r="E1093" i="3" s="1"/>
  <c r="E1035" i="3" s="1"/>
  <c r="D1086" i="3"/>
  <c r="D1093" i="3" s="1"/>
  <c r="D1035" i="3" s="1"/>
  <c r="E105" i="4"/>
  <c r="E124" i="4"/>
  <c r="D1769" i="3"/>
  <c r="D1772" i="3" s="1"/>
  <c r="D1687" i="3" s="1"/>
  <c r="E1770" i="3"/>
  <c r="E1769" i="3" s="1"/>
  <c r="E1772" i="3" s="1"/>
  <c r="E1687" i="3" s="1"/>
  <c r="E669" i="3"/>
  <c r="E668" i="3" s="1"/>
  <c r="E671" i="3" s="1"/>
  <c r="E587" i="3" s="1"/>
  <c r="D668" i="3"/>
  <c r="D671" i="3" s="1"/>
  <c r="D587" i="3" s="1"/>
  <c r="D956" i="3"/>
  <c r="D954" i="3" s="1"/>
  <c r="C15" i="92"/>
  <c r="C15" i="8"/>
  <c r="D15" i="8" s="1"/>
  <c r="F15" i="8" s="1"/>
  <c r="C1696" i="3"/>
  <c r="C1703" i="3" s="1"/>
  <c r="D64" i="4"/>
  <c r="E64" i="4" s="1"/>
  <c r="C989" i="3"/>
  <c r="C942" i="3" s="1"/>
  <c r="E930" i="3"/>
  <c r="E929" i="3" s="1"/>
  <c r="D929" i="3"/>
  <c r="E1615" i="3"/>
  <c r="E1613" i="3" s="1"/>
  <c r="E1620" i="3" s="1"/>
  <c r="E1536" i="3" s="1"/>
  <c r="E1537" i="3" s="1"/>
  <c r="D1613" i="3"/>
  <c r="D1869" i="3"/>
  <c r="D1876" i="3" s="1"/>
  <c r="D1797" i="3" s="1"/>
  <c r="D1798" i="3" s="1"/>
  <c r="E1871" i="3"/>
  <c r="E1869" i="3" s="1"/>
  <c r="E1876" i="3" s="1"/>
  <c r="E1797" i="3" s="1"/>
  <c r="E1798" i="3" s="1"/>
  <c r="C2110" i="3"/>
  <c r="C2040" i="3" s="1"/>
  <c r="C2041" i="3" s="1"/>
  <c r="C134" i="4"/>
  <c r="E134" i="4" s="1"/>
  <c r="F4760" i="91"/>
  <c r="C1663" i="3"/>
  <c r="C1542" i="3" s="1"/>
  <c r="C176" i="3"/>
  <c r="C22" i="3" s="1"/>
  <c r="C23" i="3" s="1"/>
  <c r="C14" i="4"/>
  <c r="E14" i="4" s="1"/>
  <c r="C1079" i="3"/>
  <c r="C1033" i="3" s="1"/>
  <c r="C1034" i="3" s="1"/>
  <c r="C69" i="4"/>
  <c r="D211" i="3"/>
  <c r="D218" i="3" s="1"/>
  <c r="D28" i="3" s="1"/>
  <c r="D29" i="3" s="1"/>
  <c r="E213" i="3"/>
  <c r="E211" i="3" s="1"/>
  <c r="E218" i="3" s="1"/>
  <c r="E28" i="3" s="1"/>
  <c r="E29" i="3" s="1"/>
  <c r="D1959" i="3"/>
  <c r="D1966" i="3" s="1"/>
  <c r="D1916" i="3" s="1"/>
  <c r="D1917" i="3" s="1"/>
  <c r="E1960" i="3"/>
  <c r="E1959" i="3" s="1"/>
  <c r="E1966" i="3" s="1"/>
  <c r="E1916" i="3" s="1"/>
  <c r="E1917" i="3" s="1"/>
  <c r="C463" i="3"/>
  <c r="C400" i="3" s="1"/>
  <c r="E10" i="92"/>
  <c r="AP10" i="92" s="1"/>
  <c r="E10" i="8"/>
  <c r="C131" i="4"/>
  <c r="C2071" i="3"/>
  <c r="C2035" i="3" s="1"/>
  <c r="C2036" i="3" s="1"/>
  <c r="C120" i="4"/>
  <c r="E120" i="4" s="1"/>
  <c r="C1876" i="3"/>
  <c r="C1797" i="3" s="1"/>
  <c r="C1798" i="3" s="1"/>
  <c r="E1783" i="3"/>
  <c r="E1782" i="3" s="1"/>
  <c r="D1782" i="3"/>
  <c r="G4760" i="91"/>
  <c r="C12" i="4"/>
  <c r="E12" i="4" s="1"/>
  <c r="C134" i="3"/>
  <c r="C17" i="3" s="1"/>
  <c r="C18" i="3" s="1"/>
  <c r="D1656" i="3"/>
  <c r="E1658" i="3"/>
  <c r="E1656" i="3" s="1"/>
  <c r="E1663" i="3" s="1"/>
  <c r="E1542" i="3" s="1"/>
  <c r="C1607" i="3"/>
  <c r="C1534" i="3" s="1"/>
  <c r="C1535" i="3" s="1"/>
  <c r="D103" i="4"/>
  <c r="E103" i="4" s="1"/>
  <c r="E171" i="3"/>
  <c r="E169" i="3" s="1"/>
  <c r="E176" i="3" s="1"/>
  <c r="E22" i="3" s="1"/>
  <c r="E23" i="3" s="1"/>
  <c r="D169" i="3"/>
  <c r="D176" i="3" s="1"/>
  <c r="D22" i="3" s="1"/>
  <c r="D23" i="3" s="1"/>
  <c r="L14" i="8"/>
  <c r="G4568" i="91"/>
  <c r="G4577" i="91" s="1"/>
  <c r="G4579" i="91" s="1"/>
  <c r="F4577" i="91"/>
  <c r="F4579" i="91" s="1"/>
  <c r="C26" i="4"/>
  <c r="E26" i="4" s="1"/>
  <c r="C339" i="3"/>
  <c r="C293" i="3" s="1"/>
  <c r="E1813" i="3"/>
  <c r="E185" i="3"/>
  <c r="E183" i="3" s="1"/>
  <c r="E190" i="3" s="1"/>
  <c r="E24" i="3" s="1"/>
  <c r="E25" i="3" s="1"/>
  <c r="D183" i="3"/>
  <c r="D190" i="3" s="1"/>
  <c r="D24" i="3" s="1"/>
  <c r="D25" i="3" s="1"/>
  <c r="E1074" i="3"/>
  <c r="D1059" i="3"/>
  <c r="D1057" i="3" s="1"/>
  <c r="D1072" i="3"/>
  <c r="D1079" i="3" s="1"/>
  <c r="D1033" i="3" s="1"/>
  <c r="D1034" i="3" s="1"/>
  <c r="E4085" i="91"/>
  <c r="F4085" i="91" s="1"/>
  <c r="G4085" i="91" s="1"/>
  <c r="L9" i="92"/>
  <c r="AN9" i="92"/>
  <c r="C25" i="92"/>
  <c r="F555" i="3"/>
  <c r="C40" i="4"/>
  <c r="E40" i="4" s="1"/>
  <c r="C560" i="3"/>
  <c r="C502" i="3" s="1"/>
  <c r="C503" i="3" s="1"/>
  <c r="C126" i="4"/>
  <c r="C1991" i="3"/>
  <c r="C1919" i="3" s="1"/>
  <c r="C1106" i="3"/>
  <c r="C1036" i="3" s="1"/>
  <c r="C71" i="4"/>
  <c r="E71" i="4" s="1"/>
  <c r="C6" i="92"/>
  <c r="C6" i="8"/>
  <c r="D6" i="8" s="1"/>
  <c r="F6" i="8" s="1"/>
  <c r="C412" i="3"/>
  <c r="C419" i="3" s="1"/>
  <c r="E1945" i="3"/>
  <c r="D1888" i="3"/>
  <c r="E1889" i="3"/>
  <c r="E1888" i="3" s="1"/>
  <c r="C19" i="4"/>
  <c r="E19" i="4" s="1"/>
  <c r="C244" i="3"/>
  <c r="C32" i="3" s="1"/>
  <c r="C33" i="3" s="1"/>
  <c r="L16" i="8"/>
  <c r="E1858" i="3"/>
  <c r="E1856" i="3" s="1"/>
  <c r="E1863" i="3" s="1"/>
  <c r="E1795" i="3" s="1"/>
  <c r="E1796" i="3" s="1"/>
  <c r="D1856" i="3"/>
  <c r="D1863" i="3" s="1"/>
  <c r="D1795" i="3" s="1"/>
  <c r="D1796" i="3" s="1"/>
  <c r="E1157" i="3"/>
  <c r="E1155" i="3" s="1"/>
  <c r="E1162" i="3" s="1"/>
  <c r="E1043" i="3" s="1"/>
  <c r="E1044" i="3" s="1"/>
  <c r="D1155" i="3"/>
  <c r="D1162" i="3" s="1"/>
  <c r="D1043" i="3" s="1"/>
  <c r="D1044" i="3" s="1"/>
  <c r="D1952" i="3"/>
  <c r="D1913" i="3" s="1"/>
  <c r="D1222" i="3"/>
  <c r="E1224" i="3"/>
  <c r="E1222" i="3" s="1"/>
  <c r="D2068" i="3"/>
  <c r="D2054" i="3" s="1"/>
  <c r="D2053" i="3" s="1"/>
  <c r="E2069" i="3"/>
  <c r="E2068" i="3" s="1"/>
  <c r="E2054" i="3" s="1"/>
  <c r="E2053" i="3" s="1"/>
  <c r="E11" i="8"/>
  <c r="E11" i="92"/>
  <c r="AP11" i="92" s="1"/>
  <c r="E1352" i="3"/>
  <c r="E1350" i="3" s="1"/>
  <c r="E1357" i="3" s="1"/>
  <c r="E1243" i="3" s="1"/>
  <c r="E1244" i="3" s="1"/>
  <c r="D1350" i="3"/>
  <c r="E1478" i="3"/>
  <c r="E1476" i="3" s="1"/>
  <c r="E1483" i="3" s="1"/>
  <c r="E1395" i="3" s="1"/>
  <c r="D1476" i="3"/>
  <c r="D1483" i="3" s="1"/>
  <c r="D1395" i="3" s="1"/>
  <c r="E8" i="8"/>
  <c r="E8" i="92"/>
  <c r="AP8" i="92" s="1"/>
  <c r="C1812" i="3"/>
  <c r="C1819" i="3" s="1"/>
  <c r="E1744" i="3"/>
  <c r="E199" i="3"/>
  <c r="E197" i="3" s="1"/>
  <c r="E204" i="3" s="1"/>
  <c r="E26" i="3" s="1"/>
  <c r="E27" i="3" s="1"/>
  <c r="D197" i="3"/>
  <c r="D204" i="3" s="1"/>
  <c r="D26" i="3" s="1"/>
  <c r="D27" i="3" s="1"/>
  <c r="AN10" i="92"/>
  <c r="L10" i="92"/>
  <c r="C1719" i="3"/>
  <c r="C1681" i="3" s="1"/>
  <c r="C1682" i="3" s="1"/>
  <c r="C110" i="4"/>
  <c r="E110" i="4" s="1"/>
  <c r="L13" i="8"/>
  <c r="E1132" i="3"/>
  <c r="D1131" i="3"/>
  <c r="D1062" i="3"/>
  <c r="D1061" i="3" s="1"/>
  <c r="D1226" i="3"/>
  <c r="E1227" i="3"/>
  <c r="E1226" i="3" s="1"/>
  <c r="E626" i="3"/>
  <c r="E624" i="3" s="1"/>
  <c r="E631" i="3" s="1"/>
  <c r="E583" i="3" s="1"/>
  <c r="E584" i="3" s="1"/>
  <c r="D624" i="3"/>
  <c r="D631" i="3" s="1"/>
  <c r="D583" i="3" s="1"/>
  <c r="D584" i="3" s="1"/>
  <c r="E111" i="4"/>
  <c r="D224" i="3"/>
  <c r="D231" i="3" s="1"/>
  <c r="D30" i="3" s="1"/>
  <c r="D31" i="3" s="1"/>
  <c r="E226" i="3"/>
  <c r="E224" i="3" s="1"/>
  <c r="E231" i="3" s="1"/>
  <c r="E30" i="3" s="1"/>
  <c r="E31" i="3" s="1"/>
  <c r="D45" i="4"/>
  <c r="C644" i="3"/>
  <c r="C585" i="3" s="1"/>
  <c r="D1127" i="3"/>
  <c r="E1129" i="3"/>
  <c r="E1127" i="3" s="1"/>
  <c r="C16" i="4"/>
  <c r="E16" i="4" s="1"/>
  <c r="C204" i="3"/>
  <c r="C26" i="3" s="1"/>
  <c r="C27" i="3" s="1"/>
  <c r="C53" i="4"/>
  <c r="E53" i="4" s="1"/>
  <c r="C830" i="3"/>
  <c r="C686" i="3" s="1"/>
  <c r="D1752" i="3"/>
  <c r="D1759" i="3" s="1"/>
  <c r="D1686" i="3" s="1"/>
  <c r="E1754" i="3"/>
  <c r="E1752" i="3" s="1"/>
  <c r="E1759" i="3" s="1"/>
  <c r="E1686" i="3" s="1"/>
  <c r="C132" i="4"/>
  <c r="E132" i="4" s="1"/>
  <c r="C2084" i="3"/>
  <c r="C2037" i="3" s="1"/>
  <c r="C57" i="4"/>
  <c r="E57" i="4" s="1"/>
  <c r="C882" i="3"/>
  <c r="C685" i="3" s="1"/>
  <c r="C43" i="4"/>
  <c r="C617" i="3"/>
  <c r="C581" i="3" s="1"/>
  <c r="C582" i="3" s="1"/>
  <c r="D716" i="3"/>
  <c r="D723" i="3" s="1"/>
  <c r="D677" i="3" s="1"/>
  <c r="D1627" i="3"/>
  <c r="E1629" i="3"/>
  <c r="D1884" i="3"/>
  <c r="E1886" i="3"/>
  <c r="E1884" i="3" s="1"/>
  <c r="E927" i="3"/>
  <c r="E925" i="3" s="1"/>
  <c r="D925" i="3"/>
  <c r="E1949" i="3"/>
  <c r="C93" i="4"/>
  <c r="E93" i="4" s="1"/>
  <c r="C1443" i="3"/>
  <c r="C1391" i="3" s="1"/>
  <c r="C1392" i="3" s="1"/>
  <c r="D650" i="3"/>
  <c r="E652" i="3"/>
  <c r="E650" i="3" s="1"/>
  <c r="E968" i="3"/>
  <c r="E975" i="3" s="1"/>
  <c r="E940" i="3" s="1"/>
  <c r="E941" i="3" s="1"/>
  <c r="E955" i="3"/>
  <c r="E1258" i="3"/>
  <c r="C44" i="4"/>
  <c r="E44" i="4" s="1"/>
  <c r="C631" i="3"/>
  <c r="C583" i="3" s="1"/>
  <c r="C584" i="3" s="1"/>
  <c r="E1571" i="3"/>
  <c r="E1569" i="3" s="1"/>
  <c r="E1576" i="3" s="1"/>
  <c r="E1540" i="3" s="1"/>
  <c r="E1541" i="3" s="1"/>
  <c r="D1569" i="3"/>
  <c r="D1576" i="3" s="1"/>
  <c r="D1540" i="3" s="1"/>
  <c r="D1541" i="3" s="1"/>
  <c r="E642" i="3"/>
  <c r="D641" i="3"/>
  <c r="D600" i="3"/>
  <c r="D599" i="3" s="1"/>
  <c r="E16" i="92"/>
  <c r="AP16" i="92" s="1"/>
  <c r="E16" i="8"/>
  <c r="D1169" i="3"/>
  <c r="E1171" i="3"/>
  <c r="E1169" i="3" s="1"/>
  <c r="E1587" i="3"/>
  <c r="E1585" i="3" s="1"/>
  <c r="D1585" i="3"/>
  <c r="D114" i="3"/>
  <c r="D121" i="3" s="1"/>
  <c r="D15" i="3" s="1"/>
  <c r="D16" i="3" s="1"/>
  <c r="E116" i="3"/>
  <c r="E114" i="3" s="1"/>
  <c r="E121" i="3" s="1"/>
  <c r="E15" i="3" s="1"/>
  <c r="E16" i="3" s="1"/>
  <c r="E825" i="3"/>
  <c r="E823" i="3" s="1"/>
  <c r="D823" i="3"/>
  <c r="C23" i="4"/>
  <c r="E23" i="4" s="1"/>
  <c r="C162" i="3"/>
  <c r="C20" i="3" s="1"/>
  <c r="E7" i="4"/>
  <c r="D2077" i="3"/>
  <c r="D2084" i="3" s="1"/>
  <c r="D2037" i="3" s="1"/>
  <c r="E2079" i="3"/>
  <c r="E2077" i="3" s="1"/>
  <c r="E2084" i="3" s="1"/>
  <c r="E2037" i="3" s="1"/>
  <c r="L10" i="8"/>
  <c r="C33" i="4"/>
  <c r="C451" i="3"/>
  <c r="C399" i="3" s="1"/>
  <c r="E612" i="3"/>
  <c r="D597" i="3"/>
  <c r="D595" i="3" s="1"/>
  <c r="D610" i="3"/>
  <c r="D617" i="3" s="1"/>
  <c r="D581" i="3" s="1"/>
  <c r="D582" i="3" s="1"/>
  <c r="E17" i="8"/>
  <c r="E17" i="92"/>
  <c r="AP17" i="92" s="1"/>
  <c r="C14" i="92"/>
  <c r="AO14" i="92" s="1"/>
  <c r="C14" i="8"/>
  <c r="D14" i="8" s="1"/>
  <c r="E1408" i="3"/>
  <c r="C67" i="4"/>
  <c r="E67" i="4" s="1"/>
  <c r="C1026" i="3"/>
  <c r="C946" i="3" s="1"/>
  <c r="C39" i="4"/>
  <c r="E39" i="4" s="1"/>
  <c r="C546" i="3"/>
  <c r="C500" i="3" s="1"/>
  <c r="C501" i="3" s="1"/>
  <c r="C1772" i="3"/>
  <c r="C1687" i="3" s="1"/>
  <c r="D114" i="4"/>
  <c r="E114" i="4" s="1"/>
  <c r="D637" i="3"/>
  <c r="E639" i="3"/>
  <c r="E637" i="3" s="1"/>
  <c r="C90" i="4"/>
  <c r="E90" i="4" s="1"/>
  <c r="C1382" i="3"/>
  <c r="C1248" i="3" s="1"/>
  <c r="E987" i="3"/>
  <c r="D959" i="3"/>
  <c r="D986" i="3"/>
  <c r="D1336" i="3"/>
  <c r="D1343" i="3" s="1"/>
  <c r="D1245" i="3" s="1"/>
  <c r="D1246" i="3" s="1"/>
  <c r="E1338" i="3"/>
  <c r="E1336" i="3" s="1"/>
  <c r="E1343" i="3" s="1"/>
  <c r="E1245" i="3" s="1"/>
  <c r="E1246" i="3" s="1"/>
  <c r="C1001" i="3"/>
  <c r="C943" i="3" s="1"/>
  <c r="D65" i="4"/>
  <c r="E65" i="4" s="1"/>
  <c r="E2105" i="3"/>
  <c r="E2103" i="3" s="1"/>
  <c r="E2110" i="3" s="1"/>
  <c r="E2040" i="3" s="1"/>
  <c r="E2041" i="3" s="1"/>
  <c r="D2103" i="3"/>
  <c r="D2110" i="3" s="1"/>
  <c r="D2040" i="3" s="1"/>
  <c r="D2041" i="3" s="1"/>
  <c r="C13" i="4"/>
  <c r="E13" i="4" s="1"/>
  <c r="C148" i="3"/>
  <c r="C19" i="3" s="1"/>
  <c r="E1314" i="3"/>
  <c r="E1312" i="3" s="1"/>
  <c r="E1319" i="3" s="1"/>
  <c r="E1238" i="3" s="1"/>
  <c r="D1312" i="3"/>
  <c r="D1319" i="3" s="1"/>
  <c r="D1238" i="3" s="1"/>
  <c r="E48" i="4"/>
  <c r="E84" i="4"/>
  <c r="G1073" i="91"/>
  <c r="E61" i="3"/>
  <c r="D59" i="3"/>
  <c r="D66" i="3" s="1"/>
  <c r="D7" i="3" s="1"/>
  <c r="D8" i="3" s="1"/>
  <c r="E92" i="4"/>
  <c r="D250" i="3"/>
  <c r="D257" i="3" s="1"/>
  <c r="D34" i="3" s="1"/>
  <c r="D35" i="3" s="1"/>
  <c r="E252" i="3"/>
  <c r="E250" i="3" s="1"/>
  <c r="E257" i="3" s="1"/>
  <c r="E34" i="3" s="1"/>
  <c r="E35" i="3" s="1"/>
  <c r="C25" i="8"/>
  <c r="L9" i="8"/>
  <c r="E446" i="3"/>
  <c r="E444" i="3" s="1"/>
  <c r="E451" i="3" s="1"/>
  <c r="E399" i="3" s="1"/>
  <c r="D444" i="3"/>
  <c r="D451" i="3" s="1"/>
  <c r="D399" i="3" s="1"/>
  <c r="D122" i="4"/>
  <c r="C18" i="16" s="1"/>
  <c r="C17" i="4"/>
  <c r="E17" i="4" s="1"/>
  <c r="C218" i="3"/>
  <c r="C28" i="3" s="1"/>
  <c r="C29" i="3" s="1"/>
  <c r="E541" i="3"/>
  <c r="E539" i="3" s="1"/>
  <c r="E546" i="3" s="1"/>
  <c r="E500" i="3" s="1"/>
  <c r="E501" i="3" s="1"/>
  <c r="D539" i="3"/>
  <c r="D546" i="3" s="1"/>
  <c r="D500" i="3" s="1"/>
  <c r="D501" i="3" s="1"/>
  <c r="E458" i="3"/>
  <c r="E456" i="3" s="1"/>
  <c r="E463" i="3" s="1"/>
  <c r="E400" i="3" s="1"/>
  <c r="D456" i="3"/>
  <c r="D463" i="3" s="1"/>
  <c r="D400" i="3" s="1"/>
  <c r="E362" i="3"/>
  <c r="E310" i="3"/>
  <c r="E309" i="3" s="1"/>
  <c r="D1375" i="3"/>
  <c r="D1382" i="3" s="1"/>
  <c r="D1248" i="3" s="1"/>
  <c r="E1377" i="3"/>
  <c r="E1375" i="3" s="1"/>
  <c r="E1382" i="3" s="1"/>
  <c r="E1248" i="3" s="1"/>
  <c r="D115" i="4"/>
  <c r="D118" i="4"/>
  <c r="C1849" i="3"/>
  <c r="C1799" i="3" s="1"/>
  <c r="C1800" i="3" s="1"/>
  <c r="E107" i="4"/>
  <c r="D1299" i="3"/>
  <c r="D1306" i="3" s="1"/>
  <c r="D1241" i="3" s="1"/>
  <c r="D1242" i="3" s="1"/>
  <c r="E1301" i="3"/>
  <c r="E1299" i="3" s="1"/>
  <c r="E1306" i="3" s="1"/>
  <c r="E1241" i="3" s="1"/>
  <c r="E1242" i="3" s="1"/>
  <c r="C36" i="4"/>
  <c r="E36" i="4" s="1"/>
  <c r="C491" i="3"/>
  <c r="C403" i="3" s="1"/>
  <c r="C404" i="3" s="1"/>
  <c r="C20" i="4"/>
  <c r="E20" i="4" s="1"/>
  <c r="C257" i="3"/>
  <c r="C34" i="3" s="1"/>
  <c r="C35" i="3" s="1"/>
  <c r="E555" i="3"/>
  <c r="E553" i="3" s="1"/>
  <c r="E560" i="3" s="1"/>
  <c r="E502" i="3" s="1"/>
  <c r="E503" i="3" s="1"/>
  <c r="D553" i="3"/>
  <c r="D560" i="3" s="1"/>
  <c r="D502" i="3" s="1"/>
  <c r="D503" i="3" s="1"/>
  <c r="C70" i="4"/>
  <c r="E70" i="4" s="1"/>
  <c r="C1093" i="3"/>
  <c r="C1035" i="3" s="1"/>
  <c r="D276" i="3"/>
  <c r="D283" i="3" s="1"/>
  <c r="D38" i="3" s="1"/>
  <c r="D39" i="3" s="1"/>
  <c r="E278" i="3"/>
  <c r="E276" i="3" s="1"/>
  <c r="E283" i="3" s="1"/>
  <c r="E38" i="3" s="1"/>
  <c r="E39" i="3" s="1"/>
  <c r="C1979" i="3"/>
  <c r="C1918" i="3" s="1"/>
  <c r="E1274" i="3"/>
  <c r="E1272" i="3" s="1"/>
  <c r="E1279" i="3" s="1"/>
  <c r="E1236" i="3" s="1"/>
  <c r="E1237" i="3" s="1"/>
  <c r="C1759" i="3"/>
  <c r="C1686" i="3" s="1"/>
  <c r="C112" i="4"/>
  <c r="E112" i="4" s="1"/>
  <c r="C1747" i="3"/>
  <c r="C1685" i="3" s="1"/>
  <c r="C22" i="4"/>
  <c r="E22" i="4" s="1"/>
  <c r="C283" i="3"/>
  <c r="C38" i="3" s="1"/>
  <c r="C39" i="3" s="1"/>
  <c r="D1814" i="3"/>
  <c r="D1812" i="3" s="1"/>
  <c r="E1830" i="3"/>
  <c r="C1215" i="3"/>
  <c r="C1049" i="3" s="1"/>
  <c r="C79" i="4"/>
  <c r="E79" i="4" s="1"/>
  <c r="F4340" i="91"/>
  <c r="D1099" i="3"/>
  <c r="D1106" i="3" s="1"/>
  <c r="D1036" i="3" s="1"/>
  <c r="E1101" i="3"/>
  <c r="E1099" i="3" s="1"/>
  <c r="E1106" i="3" s="1"/>
  <c r="E1036" i="3" s="1"/>
  <c r="D31" i="4"/>
  <c r="C7" i="16" s="1"/>
  <c r="E746" i="3"/>
  <c r="C133" i="4"/>
  <c r="E133" i="4" s="1"/>
  <c r="C2097" i="3"/>
  <c r="C2038" i="3" s="1"/>
  <c r="D1931" i="3"/>
  <c r="E1631" i="3"/>
  <c r="D121" i="4"/>
  <c r="E121" i="4" s="1"/>
  <c r="C1891" i="3"/>
  <c r="C1801" i="3" s="1"/>
  <c r="C1802" i="3" s="1"/>
  <c r="C18" i="92"/>
  <c r="C18" i="8"/>
  <c r="D18" i="8" s="1"/>
  <c r="C2049" i="3"/>
  <c r="C1306" i="3"/>
  <c r="C1241" i="3" s="1"/>
  <c r="C1242" i="3" s="1"/>
  <c r="D654" i="3"/>
  <c r="E655" i="3"/>
  <c r="E654" i="3" s="1"/>
  <c r="D87" i="3"/>
  <c r="D94" i="3" s="1"/>
  <c r="D11" i="3" s="1"/>
  <c r="D12" i="3" s="1"/>
  <c r="E89" i="3"/>
  <c r="E87" i="3" s="1"/>
  <c r="E94" i="3" s="1"/>
  <c r="E11" i="3" s="1"/>
  <c r="E12" i="3" s="1"/>
  <c r="E63" i="3"/>
  <c r="E50" i="3"/>
  <c r="E49" i="3" s="1"/>
  <c r="D1173" i="3"/>
  <c r="E1174" i="3"/>
  <c r="E1173" i="3" s="1"/>
  <c r="C75" i="4"/>
  <c r="E75" i="4" s="1"/>
  <c r="C1162" i="3"/>
  <c r="C1043" i="3" s="1"/>
  <c r="C1044" i="3" s="1"/>
  <c r="E1605" i="3"/>
  <c r="E1604" i="3" s="1"/>
  <c r="D1604" i="3"/>
  <c r="G2219" i="91"/>
  <c r="G2222" i="91" s="1"/>
  <c r="F2222" i="91"/>
  <c r="L14" i="92"/>
  <c r="AN14" i="92"/>
  <c r="D2023" i="3"/>
  <c r="C2021" i="3"/>
  <c r="E334" i="3"/>
  <c r="E332" i="3" s="1"/>
  <c r="E339" i="3" s="1"/>
  <c r="E293" i="3" s="1"/>
  <c r="D332" i="3"/>
  <c r="D339" i="3" s="1"/>
  <c r="D293" i="3" s="1"/>
  <c r="C15" i="4"/>
  <c r="E15" i="4" s="1"/>
  <c r="C190" i="3"/>
  <c r="C24" i="3" s="1"/>
  <c r="C25" i="3" s="1"/>
  <c r="C11" i="8"/>
  <c r="D11" i="8" s="1"/>
  <c r="C11" i="92"/>
  <c r="C1057" i="3"/>
  <c r="C1064" i="3" s="1"/>
  <c r="C28" i="4"/>
  <c r="E28" i="4" s="1"/>
  <c r="C365" i="3"/>
  <c r="C295" i="3" s="1"/>
  <c r="C5" i="92"/>
  <c r="C5" i="8"/>
  <c r="D5" i="8" s="1"/>
  <c r="F5" i="8" s="1"/>
  <c r="C305" i="3"/>
  <c r="C312" i="3" s="1"/>
  <c r="D1589" i="3"/>
  <c r="E1590" i="3"/>
  <c r="E1589" i="3" s="1"/>
  <c r="D982" i="3"/>
  <c r="E984" i="3"/>
  <c r="E982" i="3" s="1"/>
  <c r="E1986" i="3"/>
  <c r="E1984" i="3" s="1"/>
  <c r="E1991" i="3" s="1"/>
  <c r="E1919" i="3" s="1"/>
  <c r="D1984" i="3"/>
  <c r="D1991" i="3" s="1"/>
  <c r="D1919" i="3" s="1"/>
  <c r="I72" i="39" l="1"/>
  <c r="E4776" i="91"/>
  <c r="I66" i="39"/>
  <c r="I63" i="39"/>
  <c r="Q68" i="39"/>
  <c r="O68" i="39"/>
  <c r="I65" i="39"/>
  <c r="I64" i="39"/>
  <c r="G4772" i="91"/>
  <c r="F4772" i="91"/>
  <c r="C25" i="4"/>
  <c r="E25" i="4" s="1"/>
  <c r="F4771" i="91"/>
  <c r="F330" i="91"/>
  <c r="G330" i="91" s="1"/>
  <c r="E4771" i="91"/>
  <c r="F836" i="91"/>
  <c r="E4772" i="91"/>
  <c r="C749" i="3"/>
  <c r="C679" i="3" s="1"/>
  <c r="C682" i="3" s="1"/>
  <c r="D319" i="3"/>
  <c r="D326" i="3" s="1"/>
  <c r="D291" i="3" s="1"/>
  <c r="D292" i="3" s="1"/>
  <c r="E1780" i="3"/>
  <c r="E1778" i="3" s="1"/>
  <c r="E1785" i="3" s="1"/>
  <c r="E1688" i="3" s="1"/>
  <c r="D1778" i="3"/>
  <c r="D1785" i="3" s="1"/>
  <c r="D1688" i="3" s="1"/>
  <c r="D1689" i="3" s="1"/>
  <c r="D1690" i="3" s="1"/>
  <c r="C8" i="4"/>
  <c r="E8" i="4" s="1"/>
  <c r="C1785" i="3"/>
  <c r="C1688" i="3" s="1"/>
  <c r="C1689" i="3" s="1"/>
  <c r="C1690" i="3" s="1"/>
  <c r="E321" i="3"/>
  <c r="E307" i="3" s="1"/>
  <c r="E305" i="3" s="1"/>
  <c r="E312" i="3" s="1"/>
  <c r="E749" i="3"/>
  <c r="E679" i="3" s="1"/>
  <c r="E682" i="3" s="1"/>
  <c r="E704" i="3"/>
  <c r="E691" i="3"/>
  <c r="C1559" i="3"/>
  <c r="F3364" i="91"/>
  <c r="G3364" i="91" s="1"/>
  <c r="C918" i="3"/>
  <c r="C691" i="3" s="1"/>
  <c r="C692" i="3" s="1"/>
  <c r="D1620" i="3"/>
  <c r="D1536" i="3" s="1"/>
  <c r="D1537" i="3" s="1"/>
  <c r="E14" i="8"/>
  <c r="F14" i="8" s="1"/>
  <c r="C1675" i="3"/>
  <c r="C1543" i="3" s="1"/>
  <c r="C1544" i="3" s="1"/>
  <c r="E2223" i="91"/>
  <c r="F3870" i="91"/>
  <c r="D1668" i="3"/>
  <c r="D1675" i="3" s="1"/>
  <c r="D1543" i="3" s="1"/>
  <c r="E3870" i="91"/>
  <c r="C1370" i="3"/>
  <c r="C1247" i="3" s="1"/>
  <c r="C1249" i="3" s="1"/>
  <c r="E1670" i="3"/>
  <c r="E1668" i="3" s="1"/>
  <c r="E1675" i="3" s="1"/>
  <c r="E1543" i="3" s="1"/>
  <c r="E1544" i="3" s="1"/>
  <c r="E830" i="3"/>
  <c r="E686" i="3" s="1"/>
  <c r="D827" i="3"/>
  <c r="D830" i="3" s="1"/>
  <c r="D686" i="3" s="1"/>
  <c r="D706" i="3"/>
  <c r="D705" i="3" s="1"/>
  <c r="C94" i="3"/>
  <c r="C11" i="3" s="1"/>
  <c r="C12" i="3" s="1"/>
  <c r="D1259" i="3"/>
  <c r="D1257" i="3" s="1"/>
  <c r="D1264" i="3" s="1"/>
  <c r="D1634" i="3"/>
  <c r="D1538" i="3" s="1"/>
  <c r="D1539" i="3" s="1"/>
  <c r="E1504" i="3"/>
  <c r="E1502" i="3" s="1"/>
  <c r="E1509" i="3" s="1"/>
  <c r="E1398" i="3" s="1"/>
  <c r="E1400" i="3" s="1"/>
  <c r="E472" i="3"/>
  <c r="E470" i="3" s="1"/>
  <c r="E477" i="3" s="1"/>
  <c r="E401" i="3" s="1"/>
  <c r="E402" i="3" s="1"/>
  <c r="E405" i="3" s="1"/>
  <c r="E1424" i="3"/>
  <c r="E1287" i="3"/>
  <c r="E1285" i="3" s="1"/>
  <c r="E1292" i="3" s="1"/>
  <c r="E1250" i="3" s="1"/>
  <c r="E1251" i="3" s="1"/>
  <c r="C1620" i="3"/>
  <c r="C1536" i="3" s="1"/>
  <c r="C1537" i="3" s="1"/>
  <c r="C9" i="92"/>
  <c r="AO9" i="92" s="1"/>
  <c r="C9" i="8"/>
  <c r="D9" i="8" s="1"/>
  <c r="F9" i="8" s="1"/>
  <c r="X9" i="8" s="1"/>
  <c r="D836" i="3"/>
  <c r="D843" i="3" s="1"/>
  <c r="D687" i="3" s="1"/>
  <c r="C1343" i="3"/>
  <c r="C1245" i="3" s="1"/>
  <c r="C1246" i="3" s="1"/>
  <c r="C12" i="8"/>
  <c r="D12" i="8" s="1"/>
  <c r="F12" i="8" s="1"/>
  <c r="X12" i="8" s="1"/>
  <c r="D21" i="3"/>
  <c r="D40" i="3" s="1"/>
  <c r="D703" i="3"/>
  <c r="D701" i="3" s="1"/>
  <c r="C1521" i="3"/>
  <c r="C1399" i="3" s="1"/>
  <c r="D1357" i="3"/>
  <c r="D1243" i="3" s="1"/>
  <c r="D1244" i="3" s="1"/>
  <c r="C85" i="4"/>
  <c r="E85" i="4" s="1"/>
  <c r="E81" i="4" s="1"/>
  <c r="D470" i="3"/>
  <c r="D477" i="3" s="1"/>
  <c r="D401" i="3" s="1"/>
  <c r="D402" i="3" s="1"/>
  <c r="D405" i="3" s="1"/>
  <c r="C12" i="92"/>
  <c r="AO12" i="92" s="1"/>
  <c r="AQ12" i="92" s="1"/>
  <c r="C10" i="92"/>
  <c r="AO10" i="92" s="1"/>
  <c r="AQ10" i="92" s="1"/>
  <c r="E129" i="3"/>
  <c r="E127" i="3" s="1"/>
  <c r="E134" i="3" s="1"/>
  <c r="E17" i="3" s="1"/>
  <c r="E18" i="3" s="1"/>
  <c r="C10" i="8"/>
  <c r="D10" i="8" s="1"/>
  <c r="F10" i="8" s="1"/>
  <c r="G3870" i="91"/>
  <c r="F3473" i="91"/>
  <c r="G3473" i="91" s="1"/>
  <c r="C1483" i="3"/>
  <c r="C1395" i="3" s="1"/>
  <c r="D1663" i="3"/>
  <c r="D1542" i="3" s="1"/>
  <c r="C97" i="4"/>
  <c r="E97" i="4" s="1"/>
  <c r="E91" i="4" s="1"/>
  <c r="D1934" i="3"/>
  <c r="E9" i="92"/>
  <c r="AP9" i="92" s="1"/>
  <c r="C708" i="3"/>
  <c r="AN17" i="92"/>
  <c r="C477" i="3"/>
  <c r="C401" i="3" s="1"/>
  <c r="C402" i="3" s="1"/>
  <c r="C405" i="3" s="1"/>
  <c r="F422" i="3" s="1"/>
  <c r="C11" i="4"/>
  <c r="E11" i="4" s="1"/>
  <c r="C13" i="92"/>
  <c r="AO13" i="92" s="1"/>
  <c r="AQ13" i="92" s="1"/>
  <c r="D947" i="3"/>
  <c r="L17" i="92"/>
  <c r="C1469" i="3"/>
  <c r="C1393" i="3" s="1"/>
  <c r="C1394" i="3" s="1"/>
  <c r="D47" i="3"/>
  <c r="D45" i="3" s="1"/>
  <c r="D52" i="3" s="1"/>
  <c r="E1935" i="3"/>
  <c r="E1979" i="3"/>
  <c r="E1918" i="3" s="1"/>
  <c r="C13" i="8"/>
  <c r="D13" i="8" s="1"/>
  <c r="F13" i="8" s="1"/>
  <c r="AC13" i="8" s="1"/>
  <c r="C1014" i="3"/>
  <c r="C945" i="3" s="1"/>
  <c r="C947" i="3" s="1"/>
  <c r="D1409" i="3"/>
  <c r="D1407" i="3" s="1"/>
  <c r="D1414" i="3" s="1"/>
  <c r="G2218" i="91"/>
  <c r="G2221" i="91" s="1"/>
  <c r="G2223" i="91" s="1"/>
  <c r="E239" i="3"/>
  <c r="E237" i="3" s="1"/>
  <c r="E244" i="3" s="1"/>
  <c r="E32" i="3" s="1"/>
  <c r="E33" i="3" s="1"/>
  <c r="D1462" i="3"/>
  <c r="D1469" i="3" s="1"/>
  <c r="D1393" i="3" s="1"/>
  <c r="D1394" i="3" s="1"/>
  <c r="C45" i="3"/>
  <c r="C52" i="3" s="1"/>
  <c r="C4" i="92"/>
  <c r="D4" i="92" s="1"/>
  <c r="C1051" i="3"/>
  <c r="D1703" i="3"/>
  <c r="E1607" i="3"/>
  <c r="E1534" i="3" s="1"/>
  <c r="E1535" i="3" s="1"/>
  <c r="B25" i="92"/>
  <c r="C28" i="92" s="1"/>
  <c r="D2071" i="3"/>
  <c r="D2035" i="3" s="1"/>
  <c r="D2036" i="3" s="1"/>
  <c r="D1592" i="3"/>
  <c r="D1532" i="3" s="1"/>
  <c r="D1533" i="3" s="1"/>
  <c r="E657" i="3"/>
  <c r="E586" i="3" s="1"/>
  <c r="D1559" i="3"/>
  <c r="F16" i="8"/>
  <c r="X16" i="8" s="1"/>
  <c r="D657" i="3"/>
  <c r="D586" i="3" s="1"/>
  <c r="E47" i="4"/>
  <c r="D1001" i="3"/>
  <c r="D943" i="3" s="1"/>
  <c r="D1240" i="3"/>
  <c r="C296" i="3"/>
  <c r="C300" i="3" s="1"/>
  <c r="D506" i="3"/>
  <c r="AQ14" i="92"/>
  <c r="D2039" i="3"/>
  <c r="D932" i="3"/>
  <c r="D693" i="3" s="1"/>
  <c r="D694" i="3" s="1"/>
  <c r="D682" i="3"/>
  <c r="E1891" i="3"/>
  <c r="E1801" i="3" s="1"/>
  <c r="E1802" i="3" s="1"/>
  <c r="E956" i="3"/>
  <c r="E954" i="3" s="1"/>
  <c r="D1249" i="3"/>
  <c r="E1240" i="3"/>
  <c r="E1592" i="3"/>
  <c r="E1532" i="3" s="1"/>
  <c r="E1533" i="3" s="1"/>
  <c r="L20" i="8"/>
  <c r="E932" i="3"/>
  <c r="E693" i="3" s="1"/>
  <c r="E694" i="3" s="1"/>
  <c r="L20" i="92"/>
  <c r="D42" i="4"/>
  <c r="C9" i="16" s="1"/>
  <c r="E1814" i="3"/>
  <c r="E1812" i="3" s="1"/>
  <c r="C1805" i="3"/>
  <c r="C1042" i="3"/>
  <c r="D109" i="4"/>
  <c r="C16" i="16" s="1"/>
  <c r="C28" i="8"/>
  <c r="D296" i="3"/>
  <c r="C588" i="3"/>
  <c r="C589" i="3" s="1"/>
  <c r="D14" i="92"/>
  <c r="F14" i="92" s="1"/>
  <c r="AC14" i="92" s="1"/>
  <c r="C506" i="3"/>
  <c r="E1249" i="3"/>
  <c r="D1819" i="3"/>
  <c r="AO11" i="92"/>
  <c r="AQ11" i="92" s="1"/>
  <c r="D11" i="92"/>
  <c r="F11" i="92" s="1"/>
  <c r="C129" i="4"/>
  <c r="E129" i="4" s="1"/>
  <c r="C2028" i="3"/>
  <c r="C1922" i="3" s="1"/>
  <c r="C1923" i="3" s="1"/>
  <c r="E641" i="3"/>
  <c r="E644" i="3" s="1"/>
  <c r="E585" i="3" s="1"/>
  <c r="E600" i="3"/>
  <c r="E599" i="3" s="1"/>
  <c r="AO8" i="92"/>
  <c r="AQ8" i="92" s="1"/>
  <c r="D8" i="92"/>
  <c r="F8" i="92" s="1"/>
  <c r="E514" i="3"/>
  <c r="E512" i="3" s="1"/>
  <c r="E519" i="3" s="1"/>
  <c r="E525" i="3"/>
  <c r="E532" i="3" s="1"/>
  <c r="E498" i="3" s="1"/>
  <c r="E499" i="3" s="1"/>
  <c r="E506" i="3" s="1"/>
  <c r="F11" i="8"/>
  <c r="D1176" i="3"/>
  <c r="D1045" i="3" s="1"/>
  <c r="D1046" i="3" s="1"/>
  <c r="E1131" i="3"/>
  <c r="E1134" i="3" s="1"/>
  <c r="E1038" i="3" s="1"/>
  <c r="E1042" i="3" s="1"/>
  <c r="E1062" i="3"/>
  <c r="E1061" i="3" s="1"/>
  <c r="E126" i="4"/>
  <c r="E1557" i="3"/>
  <c r="E1556" i="3" s="1"/>
  <c r="J6" i="8"/>
  <c r="AE6" i="8"/>
  <c r="AC6" i="8"/>
  <c r="X6" i="8"/>
  <c r="D4" i="8"/>
  <c r="AO15" i="92"/>
  <c r="AQ15" i="92" s="1"/>
  <c r="D15" i="92"/>
  <c r="F15" i="92" s="1"/>
  <c r="E18" i="92"/>
  <c r="AP18" i="92" s="1"/>
  <c r="E18" i="8"/>
  <c r="E62" i="4"/>
  <c r="E59" i="3"/>
  <c r="F59" i="3" s="1"/>
  <c r="D1400" i="3"/>
  <c r="AO6" i="92"/>
  <c r="AQ6" i="92" s="1"/>
  <c r="D6" i="92"/>
  <c r="F6" i="92" s="1"/>
  <c r="D2056" i="3"/>
  <c r="D1229" i="3"/>
  <c r="D1050" i="3" s="1"/>
  <c r="D1051" i="3" s="1"/>
  <c r="E1846" i="3"/>
  <c r="E1849" i="3" s="1"/>
  <c r="E1799" i="3" s="1"/>
  <c r="E1800" i="3" s="1"/>
  <c r="E1817" i="3"/>
  <c r="E1816" i="3" s="1"/>
  <c r="C128" i="4"/>
  <c r="E128" i="4" s="1"/>
  <c r="C2015" i="3"/>
  <c r="C1914" i="3" s="1"/>
  <c r="C1915" i="3" s="1"/>
  <c r="F2223" i="91"/>
  <c r="AO18" i="92"/>
  <c r="D18" i="92"/>
  <c r="C2039" i="3"/>
  <c r="C2042" i="3" s="1"/>
  <c r="E1701" i="3"/>
  <c r="E1700" i="3" s="1"/>
  <c r="D2008" i="3"/>
  <c r="D2015" i="3" s="1"/>
  <c r="D1914" i="3" s="1"/>
  <c r="D1915" i="3" s="1"/>
  <c r="E2010" i="3"/>
  <c r="E2008" i="3" s="1"/>
  <c r="E2015" i="3" s="1"/>
  <c r="E1914" i="3" s="1"/>
  <c r="AC7" i="8"/>
  <c r="J7" i="8"/>
  <c r="X7" i="8"/>
  <c r="AE7" i="8"/>
  <c r="E45" i="4"/>
  <c r="AQ16" i="92"/>
  <c r="E119" i="4"/>
  <c r="C116" i="4"/>
  <c r="B17" i="16" s="1"/>
  <c r="AE5" i="8"/>
  <c r="AC5" i="8"/>
  <c r="J5" i="8"/>
  <c r="X5" i="8"/>
  <c r="E986" i="3"/>
  <c r="E959" i="3"/>
  <c r="D602" i="3"/>
  <c r="E43" i="4"/>
  <c r="C42" i="4"/>
  <c r="B9" i="16" s="1"/>
  <c r="D1134" i="3"/>
  <c r="D1038" i="3" s="1"/>
  <c r="D1042" i="3" s="1"/>
  <c r="D1891" i="3"/>
  <c r="D1801" i="3" s="1"/>
  <c r="D1802" i="3" s="1"/>
  <c r="D1805" i="3" s="1"/>
  <c r="E1828" i="3"/>
  <c r="E1835" i="3" s="1"/>
  <c r="E1793" i="3" s="1"/>
  <c r="E1794" i="3" s="1"/>
  <c r="C944" i="3"/>
  <c r="AO7" i="92"/>
  <c r="AQ7" i="92" s="1"/>
  <c r="D7" i="92"/>
  <c r="F7" i="92" s="1"/>
  <c r="D16" i="92"/>
  <c r="F16" i="92" s="1"/>
  <c r="E365" i="3"/>
  <c r="E295" i="3" s="1"/>
  <c r="E296" i="3" s="1"/>
  <c r="C17" i="8"/>
  <c r="D17" i="8" s="1"/>
  <c r="F17" i="8" s="1"/>
  <c r="C17" i="92"/>
  <c r="C1930" i="3"/>
  <c r="C1937" i="3" s="1"/>
  <c r="D100" i="4"/>
  <c r="C15" i="16" s="1"/>
  <c r="E1176" i="3"/>
  <c r="E1045" i="3" s="1"/>
  <c r="E1046" i="3" s="1"/>
  <c r="E1059" i="3"/>
  <c r="E1057" i="3" s="1"/>
  <c r="E1072" i="3"/>
  <c r="E1079" i="3" s="1"/>
  <c r="E1033" i="3" s="1"/>
  <c r="E1034" i="3" s="1"/>
  <c r="C127" i="4"/>
  <c r="E127" i="4" s="1"/>
  <c r="C2003" i="3"/>
  <c r="C1920" i="3" s="1"/>
  <c r="C1921" i="3" s="1"/>
  <c r="D2021" i="3"/>
  <c r="D2028" i="3" s="1"/>
  <c r="D1922" i="3" s="1"/>
  <c r="D1923" i="3" s="1"/>
  <c r="E2023" i="3"/>
  <c r="E2021" i="3" s="1"/>
  <c r="E2028" i="3" s="1"/>
  <c r="E1922" i="3" s="1"/>
  <c r="E1923" i="3" s="1"/>
  <c r="F332" i="91"/>
  <c r="G332" i="91" s="1"/>
  <c r="F334" i="91"/>
  <c r="G334" i="91" s="1"/>
  <c r="E1627" i="3"/>
  <c r="E1634" i="3" s="1"/>
  <c r="E1538" i="3" s="1"/>
  <c r="E1539" i="3" s="1"/>
  <c r="X15" i="8"/>
  <c r="AE15" i="8"/>
  <c r="AC15" i="8"/>
  <c r="J15" i="8"/>
  <c r="C62" i="4"/>
  <c r="B11" i="16" s="1"/>
  <c r="E115" i="4"/>
  <c r="E109" i="4" s="1"/>
  <c r="E1934" i="3"/>
  <c r="E1952" i="3"/>
  <c r="E1913" i="3" s="1"/>
  <c r="E69" i="4"/>
  <c r="E68" i="4" s="1"/>
  <c r="C68" i="4"/>
  <c r="B12" i="16" s="1"/>
  <c r="D12" i="16" s="1"/>
  <c r="C37" i="4"/>
  <c r="B8" i="16" s="1"/>
  <c r="D8" i="16" s="1"/>
  <c r="H7" i="8" s="1"/>
  <c r="E38" i="4"/>
  <c r="E37" i="4" s="1"/>
  <c r="E2051" i="3"/>
  <c r="E2049" i="3" s="1"/>
  <c r="E2056" i="3" s="1"/>
  <c r="E2064" i="3"/>
  <c r="E2071" i="3" s="1"/>
  <c r="E2035" i="3" s="1"/>
  <c r="E2036" i="3" s="1"/>
  <c r="C2056" i="3"/>
  <c r="C21" i="3"/>
  <c r="E1229" i="3"/>
  <c r="E1050" i="3" s="1"/>
  <c r="E1051" i="3" s="1"/>
  <c r="E703" i="3"/>
  <c r="D958" i="3"/>
  <c r="D961" i="3" s="1"/>
  <c r="D989" i="3"/>
  <c r="D942" i="3" s="1"/>
  <c r="C100" i="4"/>
  <c r="B15" i="16" s="1"/>
  <c r="E101" i="4"/>
  <c r="E100" i="4" s="1"/>
  <c r="E597" i="3"/>
  <c r="E595" i="3" s="1"/>
  <c r="E610" i="3"/>
  <c r="E617" i="3" s="1"/>
  <c r="E581" i="3" s="1"/>
  <c r="E582" i="3" s="1"/>
  <c r="AO5" i="92"/>
  <c r="AQ5" i="92" s="1"/>
  <c r="D5" i="92"/>
  <c r="F5" i="92" s="1"/>
  <c r="D1607" i="3"/>
  <c r="D1534" i="3" s="1"/>
  <c r="D1535" i="3" s="1"/>
  <c r="E706" i="3"/>
  <c r="E705" i="3" s="1"/>
  <c r="E118" i="4"/>
  <c r="D116" i="4"/>
  <c r="C17" i="16" s="1"/>
  <c r="C47" i="4"/>
  <c r="B10" i="16" s="1"/>
  <c r="D10" i="16" s="1"/>
  <c r="E33" i="4"/>
  <c r="C31" i="4"/>
  <c r="D644" i="3"/>
  <c r="D585" i="3" s="1"/>
  <c r="C109" i="4"/>
  <c r="B16" i="16" s="1"/>
  <c r="E1931" i="3"/>
  <c r="C24" i="4"/>
  <c r="D1064" i="3"/>
  <c r="C130" i="4"/>
  <c r="B19" i="16" s="1"/>
  <c r="D19" i="16" s="1"/>
  <c r="E131" i="4"/>
  <c r="E130" i="4" s="1"/>
  <c r="D62" i="4"/>
  <c r="C11" i="16" s="1"/>
  <c r="F8" i="8"/>
  <c r="E1740" i="3"/>
  <c r="E1747" i="3" s="1"/>
  <c r="E1685" i="3" s="1"/>
  <c r="E21" i="3"/>
  <c r="E1001" i="3"/>
  <c r="E943" i="3" s="1"/>
  <c r="E1998" i="3"/>
  <c r="E1996" i="3" s="1"/>
  <c r="E2003" i="3" s="1"/>
  <c r="E1920" i="3" s="1"/>
  <c r="D1996" i="3"/>
  <c r="D2003" i="3" s="1"/>
  <c r="D1920" i="3" s="1"/>
  <c r="D1921" i="3" s="1"/>
  <c r="D1932" i="3"/>
  <c r="D1930" i="3" s="1"/>
  <c r="E2039" i="3"/>
  <c r="G4773" i="91" l="1"/>
  <c r="G4775" i="91" s="1"/>
  <c r="G4777" i="91" s="1"/>
  <c r="Q63" i="39"/>
  <c r="O63" i="39"/>
  <c r="O66" i="39"/>
  <c r="Q66" i="39"/>
  <c r="O64" i="39"/>
  <c r="Q64" i="39"/>
  <c r="Q65" i="39"/>
  <c r="O65" i="39"/>
  <c r="C695" i="3"/>
  <c r="F4773" i="91"/>
  <c r="F4775" i="91" s="1"/>
  <c r="F4777" i="91" s="1"/>
  <c r="G4771" i="91"/>
  <c r="D300" i="3"/>
  <c r="E692" i="3"/>
  <c r="E695" i="3" s="1"/>
  <c r="E4773" i="91"/>
  <c r="E4775" i="91" s="1"/>
  <c r="E4777" i="91" s="1"/>
  <c r="E319" i="3"/>
  <c r="E326" i="3" s="1"/>
  <c r="E291" i="3" s="1"/>
  <c r="E292" i="3" s="1"/>
  <c r="E300" i="3" s="1"/>
  <c r="E1698" i="3"/>
  <c r="E1696" i="3" s="1"/>
  <c r="E1703" i="3" s="1"/>
  <c r="E701" i="3"/>
  <c r="AE12" i="8"/>
  <c r="E414" i="3"/>
  <c r="E412" i="3" s="1"/>
  <c r="E419" i="3" s="1"/>
  <c r="E1554" i="3"/>
  <c r="E1552" i="3" s="1"/>
  <c r="E1559" i="3" s="1"/>
  <c r="E20" i="8"/>
  <c r="E25" i="8" s="1"/>
  <c r="E26" i="8" s="1"/>
  <c r="D12" i="92"/>
  <c r="F12" i="92" s="1"/>
  <c r="AC12" i="92" s="1"/>
  <c r="AQ9" i="92"/>
  <c r="C1545" i="3"/>
  <c r="C1546" i="3" s="1"/>
  <c r="D692" i="3"/>
  <c r="D695" i="3" s="1"/>
  <c r="E1409" i="3"/>
  <c r="E1407" i="3" s="1"/>
  <c r="E1414" i="3" s="1"/>
  <c r="D1544" i="3"/>
  <c r="D1545" i="3" s="1"/>
  <c r="D708" i="3"/>
  <c r="C40" i="3"/>
  <c r="E1422" i="3"/>
  <c r="E1429" i="3" s="1"/>
  <c r="E1389" i="3" s="1"/>
  <c r="E1390" i="3" s="1"/>
  <c r="E1401" i="3" s="1"/>
  <c r="D9" i="92"/>
  <c r="F9" i="92" s="1"/>
  <c r="E1259" i="3"/>
  <c r="E1257" i="3" s="1"/>
  <c r="E1264" i="3" s="1"/>
  <c r="J12" i="8"/>
  <c r="AO4" i="92"/>
  <c r="AQ4" i="92" s="1"/>
  <c r="AC12" i="8"/>
  <c r="C1252" i="3"/>
  <c r="C1400" i="3"/>
  <c r="C1401" i="3" s="1"/>
  <c r="H9" i="8"/>
  <c r="AE9" i="8"/>
  <c r="D10" i="92"/>
  <c r="F10" i="92" s="1"/>
  <c r="AE10" i="92" s="1"/>
  <c r="C91" i="4"/>
  <c r="B14" i="16" s="1"/>
  <c r="D14" i="16" s="1"/>
  <c r="H13" i="8" s="1"/>
  <c r="J9" i="8"/>
  <c r="AC9" i="8"/>
  <c r="C81" i="4"/>
  <c r="B13" i="16" s="1"/>
  <c r="D13" i="16" s="1"/>
  <c r="E47" i="3"/>
  <c r="E45" i="3" s="1"/>
  <c r="E52" i="3" s="1"/>
  <c r="X13" i="8"/>
  <c r="AA23" i="92"/>
  <c r="D1937" i="3"/>
  <c r="C696" i="3"/>
  <c r="J13" i="8"/>
  <c r="E1921" i="3"/>
  <c r="AE13" i="8"/>
  <c r="C1052" i="3"/>
  <c r="C6" i="4"/>
  <c r="E6" i="4" s="1"/>
  <c r="D13" i="92"/>
  <c r="F13" i="92" s="1"/>
  <c r="X13" i="92" s="1"/>
  <c r="C20" i="92"/>
  <c r="AO20" i="92" s="1"/>
  <c r="D1401" i="3"/>
  <c r="D2042" i="3"/>
  <c r="C948" i="3"/>
  <c r="D588" i="3"/>
  <c r="D589" i="3" s="1"/>
  <c r="AE14" i="92"/>
  <c r="E588" i="3"/>
  <c r="E589" i="3" s="1"/>
  <c r="F296" i="3"/>
  <c r="E1252" i="3"/>
  <c r="J14" i="92"/>
  <c r="D15" i="16"/>
  <c r="H14" i="92" s="1"/>
  <c r="AC16" i="8"/>
  <c r="X14" i="92"/>
  <c r="J16" i="8"/>
  <c r="AE16" i="8"/>
  <c r="E1064" i="3"/>
  <c r="E1805" i="3"/>
  <c r="D944" i="3"/>
  <c r="D948" i="3" s="1"/>
  <c r="D16" i="16"/>
  <c r="H15" i="8" s="1"/>
  <c r="D1252" i="3"/>
  <c r="E42" i="4"/>
  <c r="E1819" i="3"/>
  <c r="E708" i="3"/>
  <c r="D139" i="4"/>
  <c r="D140" i="4" s="1"/>
  <c r="D142" i="4" s="1"/>
  <c r="E66" i="3"/>
  <c r="E7" i="3" s="1"/>
  <c r="E8" i="3" s="1"/>
  <c r="E40" i="3" s="1"/>
  <c r="E20" i="92"/>
  <c r="E25" i="92" s="1"/>
  <c r="C21" i="16"/>
  <c r="D9" i="16"/>
  <c r="H8" i="92" s="1"/>
  <c r="D1052" i="3"/>
  <c r="AC5" i="92"/>
  <c r="J5" i="92"/>
  <c r="AE5" i="92"/>
  <c r="X5" i="92"/>
  <c r="B6" i="16"/>
  <c r="D6" i="16" s="1"/>
  <c r="H5" i="8" s="1"/>
  <c r="E24" i="4"/>
  <c r="X11" i="8"/>
  <c r="J11" i="8"/>
  <c r="H11" i="8"/>
  <c r="AE11" i="8"/>
  <c r="AC11" i="8"/>
  <c r="AC8" i="8"/>
  <c r="X8" i="8"/>
  <c r="AE8" i="8"/>
  <c r="J8" i="8"/>
  <c r="F4" i="92"/>
  <c r="E1052" i="3"/>
  <c r="X11" i="92"/>
  <c r="AE11" i="92"/>
  <c r="AC11" i="92"/>
  <c r="J11" i="92"/>
  <c r="H11" i="92"/>
  <c r="X17" i="8"/>
  <c r="AE17" i="8"/>
  <c r="AC17" i="8"/>
  <c r="J17" i="8"/>
  <c r="X15" i="92"/>
  <c r="AE15" i="92"/>
  <c r="AC15" i="92"/>
  <c r="J15" i="92"/>
  <c r="F4" i="8"/>
  <c r="D20" i="8"/>
  <c r="B7" i="16"/>
  <c r="D7" i="16" s="1"/>
  <c r="H6" i="8" s="1"/>
  <c r="E31" i="4"/>
  <c r="E1545" i="3"/>
  <c r="D1924" i="3"/>
  <c r="AE10" i="8"/>
  <c r="X10" i="8"/>
  <c r="AC10" i="8"/>
  <c r="J10" i="8"/>
  <c r="E602" i="3"/>
  <c r="C1924" i="3"/>
  <c r="J14" i="8"/>
  <c r="AE14" i="8"/>
  <c r="AC14" i="8"/>
  <c r="X14" i="8"/>
  <c r="AO17" i="92"/>
  <c r="AQ17" i="92" s="1"/>
  <c r="D17" i="92"/>
  <c r="F17" i="92" s="1"/>
  <c r="AE6" i="92"/>
  <c r="AC6" i="92"/>
  <c r="X6" i="92"/>
  <c r="J6" i="92"/>
  <c r="C122" i="4"/>
  <c r="B18" i="16" s="1"/>
  <c r="D18" i="16" s="1"/>
  <c r="H17" i="8" s="1"/>
  <c r="E116" i="4"/>
  <c r="D11" i="16"/>
  <c r="E122" i="4"/>
  <c r="X8" i="92"/>
  <c r="J8" i="92"/>
  <c r="AE8" i="92"/>
  <c r="AC8" i="92"/>
  <c r="E1915" i="3"/>
  <c r="E1932" i="3"/>
  <c r="E1930" i="3" s="1"/>
  <c r="E1937" i="3" s="1"/>
  <c r="J16" i="92"/>
  <c r="AC16" i="92"/>
  <c r="X16" i="92"/>
  <c r="AE16" i="92"/>
  <c r="E958" i="3"/>
  <c r="E961" i="3" s="1"/>
  <c r="E989" i="3"/>
  <c r="E942" i="3" s="1"/>
  <c r="E944" i="3" s="1"/>
  <c r="E948" i="3" s="1"/>
  <c r="F18" i="92"/>
  <c r="F18" i="8"/>
  <c r="E2042" i="3"/>
  <c r="AQ18" i="92"/>
  <c r="C20" i="8"/>
  <c r="E1689" i="3"/>
  <c r="E1690" i="3" s="1"/>
  <c r="AC7" i="92"/>
  <c r="H7" i="92"/>
  <c r="J7" i="92"/>
  <c r="AE7" i="92"/>
  <c r="X7" i="92"/>
  <c r="D17" i="16"/>
  <c r="H16" i="8" s="1"/>
  <c r="J12" i="92" l="1"/>
  <c r="B5" i="16"/>
  <c r="D5" i="16" s="1"/>
  <c r="D21" i="16" s="1"/>
  <c r="C22" i="16" s="1"/>
  <c r="X12" i="92"/>
  <c r="H12" i="92"/>
  <c r="AE12" i="92"/>
  <c r="J9" i="92"/>
  <c r="X9" i="92"/>
  <c r="AC10" i="92"/>
  <c r="H10" i="92"/>
  <c r="X10" i="92"/>
  <c r="J10" i="92"/>
  <c r="AC9" i="92"/>
  <c r="AE9" i="92"/>
  <c r="H9" i="92"/>
  <c r="H12" i="8"/>
  <c r="AC13" i="92"/>
  <c r="J13" i="92"/>
  <c r="E1924" i="3"/>
  <c r="H13" i="92"/>
  <c r="E26" i="92"/>
  <c r="AE13" i="92"/>
  <c r="H14" i="8"/>
  <c r="H5" i="92"/>
  <c r="D20" i="92"/>
  <c r="H15" i="92"/>
  <c r="H6" i="92"/>
  <c r="H8" i="8"/>
  <c r="AP20" i="92"/>
  <c r="AQ20" i="92" s="1"/>
  <c r="C139" i="4"/>
  <c r="C140" i="4" s="1"/>
  <c r="C142" i="4" s="1"/>
  <c r="F20" i="8"/>
  <c r="D21" i="8" s="1"/>
  <c r="J4" i="8"/>
  <c r="J20" i="8" s="1"/>
  <c r="X4" i="8"/>
  <c r="AE4" i="8"/>
  <c r="AC4" i="8"/>
  <c r="F20" i="92"/>
  <c r="G4" i="92" s="1"/>
  <c r="J4" i="92"/>
  <c r="AE4" i="92"/>
  <c r="AC4" i="92"/>
  <c r="X4" i="92"/>
  <c r="E139" i="4"/>
  <c r="E140" i="4" s="1"/>
  <c r="E142" i="4" s="1"/>
  <c r="J17" i="92"/>
  <c r="H17" i="92"/>
  <c r="AE17" i="92"/>
  <c r="AC17" i="92"/>
  <c r="X17" i="92"/>
  <c r="H18" i="8"/>
  <c r="X18" i="8"/>
  <c r="AE18" i="8"/>
  <c r="AC18" i="8"/>
  <c r="J18" i="8"/>
  <c r="H16" i="92"/>
  <c r="H18" i="92"/>
  <c r="J18" i="92"/>
  <c r="X18" i="92"/>
  <c r="AC18" i="92"/>
  <c r="AE18" i="92"/>
  <c r="H10" i="8"/>
  <c r="B21" i="16" l="1"/>
  <c r="B22" i="16" s="1"/>
  <c r="D22" i="16" s="1"/>
  <c r="J20" i="92"/>
  <c r="G4" i="8"/>
  <c r="D21" i="92"/>
  <c r="G18" i="92"/>
  <c r="G18" i="8"/>
  <c r="C143" i="4"/>
  <c r="H4" i="8"/>
  <c r="G17" i="92"/>
  <c r="C21" i="8"/>
  <c r="H4" i="92"/>
  <c r="E143" i="4"/>
  <c r="D143" i="4"/>
  <c r="F26" i="92"/>
  <c r="AE20" i="92"/>
  <c r="G19" i="92"/>
  <c r="AC20" i="92"/>
  <c r="F21" i="92"/>
  <c r="G20" i="92"/>
  <c r="X20" i="92"/>
  <c r="B21" i="92"/>
  <c r="AN21" i="92" s="1"/>
  <c r="G10" i="92"/>
  <c r="G12" i="92"/>
  <c r="G14" i="92"/>
  <c r="C21" i="92"/>
  <c r="AO21" i="92" s="1"/>
  <c r="G11" i="92"/>
  <c r="G7" i="92"/>
  <c r="G15" i="92"/>
  <c r="G8" i="92"/>
  <c r="G16" i="92"/>
  <c r="G9" i="92"/>
  <c r="G13" i="92"/>
  <c r="G5" i="92"/>
  <c r="G6" i="92"/>
  <c r="E21" i="92"/>
  <c r="AP21" i="92" s="1"/>
  <c r="G20" i="8"/>
  <c r="F26" i="8"/>
  <c r="AE20" i="8"/>
  <c r="F21" i="8"/>
  <c r="G19" i="8"/>
  <c r="X20" i="8"/>
  <c r="AC20" i="8"/>
  <c r="B21" i="8"/>
  <c r="G15" i="8"/>
  <c r="G9" i="8"/>
  <c r="G13" i="8"/>
  <c r="G7" i="8"/>
  <c r="G12" i="8"/>
  <c r="G16" i="8"/>
  <c r="G6" i="8"/>
  <c r="G5" i="8"/>
  <c r="G8" i="8"/>
  <c r="G11" i="8"/>
  <c r="E21" i="8"/>
  <c r="G17" i="8"/>
  <c r="G10" i="8"/>
  <c r="G14" i="8"/>
  <c r="AE21" i="8" l="1"/>
  <c r="X21" i="8"/>
  <c r="AC21" i="8"/>
  <c r="AC21" i="92"/>
  <c r="X21" i="92"/>
  <c r="AE21" i="92"/>
  <c r="AQ21" i="92"/>
</calcChain>
</file>

<file path=xl/sharedStrings.xml><?xml version="1.0" encoding="utf-8"?>
<sst xmlns="http://schemas.openxmlformats.org/spreadsheetml/2006/main" count="7671" uniqueCount="1780">
  <si>
    <t>KITUI COUNTY BUDGET FY 2026/27</t>
  </si>
  <si>
    <t>Head</t>
  </si>
  <si>
    <t>Sub-Head</t>
  </si>
  <si>
    <t>Item Code</t>
  </si>
  <si>
    <t>Item Description</t>
  </si>
  <si>
    <t xml:space="preserve"> Budget Estimates 2026/27</t>
  </si>
  <si>
    <t>Projected Estimates 2027/28</t>
  </si>
  <si>
    <t>Projected Estimates 2028/29</t>
  </si>
  <si>
    <t>VOTE 3711: OFFICE OF THE GOVERNOR</t>
  </si>
  <si>
    <t>#1</t>
  </si>
  <si>
    <t>Public Service Management &amp; General Administration</t>
  </si>
  <si>
    <t>0701003710 P1 General Administration, Planning, Support Services</t>
  </si>
  <si>
    <t xml:space="preserve">0701013710 SP 1.1 General Administration, Human Resources, Protocol,  Monitoring and Research and Support Services </t>
  </si>
  <si>
    <t>Basic Salaries - Permanent Employees</t>
  </si>
  <si>
    <t>Basic Salaries - Civil Service</t>
  </si>
  <si>
    <t>Basic Wages- Temporary Employees</t>
  </si>
  <si>
    <t>Utilities Supplies and Services</t>
  </si>
  <si>
    <t>Electricity</t>
  </si>
  <si>
    <t>Water and sewerage charges</t>
  </si>
  <si>
    <t>Communication, Supplies and Services</t>
  </si>
  <si>
    <t>Telephone, Telex, Facsmile and Mobile Phone Services</t>
  </si>
  <si>
    <t>Internet Connections</t>
  </si>
  <si>
    <t>Courier and Postal Services</t>
  </si>
  <si>
    <t>Domestic Travel and Subsistence, and Other Transportation Costs</t>
  </si>
  <si>
    <t>Travel Costs (airlines, bus, railway, mileage allowances, etc.)</t>
  </si>
  <si>
    <t>Accommodation - Domestic Travel</t>
  </si>
  <si>
    <t>Daily Subsistence Allowance</t>
  </si>
  <si>
    <t>Sundry Items (e.g. airport tax, taxis, etc…)</t>
  </si>
  <si>
    <t>Foreign Travel and Subsistence Allowance</t>
  </si>
  <si>
    <t>Accommodation - Foreign Travel</t>
  </si>
  <si>
    <t>Printing , Advertising and Information Supplies and Services</t>
  </si>
  <si>
    <t>Subscriptions to Newspapers, Magazines and Periodicals</t>
  </si>
  <si>
    <t>Advertising, Awareness and Publicity Campaigns</t>
  </si>
  <si>
    <t>Printing, advertising-other (adverts,reports)</t>
  </si>
  <si>
    <t>Training Expense (including capacity building)</t>
  </si>
  <si>
    <t>Travel Allowance</t>
  </si>
  <si>
    <t>Remuneration of Instructors and Contract Based Training Services</t>
  </si>
  <si>
    <t>Hire of Training Facilities and Equipment</t>
  </si>
  <si>
    <t>Accommodation Allowance</t>
  </si>
  <si>
    <t>Kenya School of Government</t>
  </si>
  <si>
    <t>Training Expenses - Other (Bud</t>
  </si>
  <si>
    <t>Hospitality Supplies and Services</t>
  </si>
  <si>
    <t>Catering Services (receptions), Accommodation, Gifts, Food and Drinks)</t>
  </si>
  <si>
    <t xml:space="preserve">Boards, Committees, Conferences and Seminars </t>
  </si>
  <si>
    <t xml:space="preserve">Hospitality Supplies –Others (Governor’s Residence Reception) </t>
  </si>
  <si>
    <t>Insurance Costs</t>
  </si>
  <si>
    <t>Motor Vehicle insurance</t>
  </si>
  <si>
    <t>Medical Insurance (Group Cover Insurance)</t>
  </si>
  <si>
    <t>Insurance Costs - Other (WIBA)</t>
  </si>
  <si>
    <t>Office and General Supplies and Services</t>
  </si>
  <si>
    <t xml:space="preserve">General Office Supplies (papers, pencils, forms, small office equipment etc) </t>
  </si>
  <si>
    <t>Supplies and Accessories for Computers and Printers</t>
  </si>
  <si>
    <t>Sanitary and Cleaning Materials, Supplies and Services</t>
  </si>
  <si>
    <t>Fuel Oil and Lubricants</t>
  </si>
  <si>
    <t>Refined Fuels and Lubricants for Transport- facilitate GVN movement</t>
  </si>
  <si>
    <t>Other Operating Expenses</t>
  </si>
  <si>
    <t xml:space="preserve"> Pending Bills- Contracted Guards (Delta Guards)</t>
  </si>
  <si>
    <t>Membership Fees, Dues and Subscriptions to Professional and Trade Bodies</t>
  </si>
  <si>
    <t>Contracted Professional  Services</t>
  </si>
  <si>
    <t xml:space="preserve">Temporary Committee Expenses </t>
  </si>
  <si>
    <t xml:space="preserve">Other Operating Expenses-Other </t>
  </si>
  <si>
    <t>Routine Maintenance - Vehicles and Other Transport Equipment</t>
  </si>
  <si>
    <t>Maintenance Expenses - Motor Vehicles</t>
  </si>
  <si>
    <t>Maintenance of Office Furniture and Equipment</t>
  </si>
  <si>
    <t>Routine Maintenance - Vehicles</t>
  </si>
  <si>
    <t>Purchase of Office Furniture and General Equipment</t>
  </si>
  <si>
    <t>Purchase of Office Furniture and Fittings</t>
  </si>
  <si>
    <t>Purchase of Computers, Printers and other IT Equipment</t>
  </si>
  <si>
    <t xml:space="preserve"> Research, Feasibility Studies, Project Preparation and Design, Project S</t>
  </si>
  <si>
    <t xml:space="preserve"> Pre-feasibility, Feasibility and Appraisal Studies (CLIDP Administrative budget)</t>
  </si>
  <si>
    <t>Sub-Total</t>
  </si>
  <si>
    <t>DEVELOPMENT</t>
  </si>
  <si>
    <t>Construction of Buildings</t>
  </si>
  <si>
    <t>Non-Residential Buildings-Refurbishment of the Governor's Administration Block (Paint, Starecase &amp; floor repairs)</t>
  </si>
  <si>
    <t>Non-Residential Buildings- Completion of two office blocks</t>
  </si>
  <si>
    <t>Construction and Civil works</t>
  </si>
  <si>
    <t>Other Infrastructure and Civil Works-CLIDP (72% Infrastructure)</t>
  </si>
  <si>
    <t>Other Infrastructure and Civil Works-CLIDP (25% Infrastructure)</t>
  </si>
  <si>
    <t xml:space="preserve">Other Infrastructure and Civil Works - CLIDP - Historical CLIDP Pending Bills cleared by  the Pending Bills Committee and Pending Bills from FY 2024/2025 </t>
  </si>
  <si>
    <t>Sub-Total Development</t>
  </si>
  <si>
    <t>Total SP</t>
  </si>
  <si>
    <t>0702003710 P2: Enforcement Function</t>
  </si>
  <si>
    <t>0702013710 SP 2.1 General Admininistration - Enforcement Unit</t>
  </si>
  <si>
    <t>Remuneration of Instructors and Contract based Training Services</t>
  </si>
  <si>
    <t>Training Expenses-Other (Enforcement Unit)</t>
  </si>
  <si>
    <t>Catering Services (receptions), Accommodation, Gifts, Food and Drinks</t>
  </si>
  <si>
    <t>Boards, Committees, Conferences and Seminars</t>
  </si>
  <si>
    <t>General Office Supplies (papers, pencils, forms, small office equipment etc)</t>
  </si>
  <si>
    <t xml:space="preserve"> Specialised Materials and Supplies</t>
  </si>
  <si>
    <t>Purchase of Uniforms and Clothing</t>
  </si>
  <si>
    <t>Specialised Materials - Other (Enforcement barrets, touch)</t>
  </si>
  <si>
    <t>Refined Fuels and Lubricants for Transport</t>
  </si>
  <si>
    <t>Maintenance expenses -Motor vehicle</t>
  </si>
  <si>
    <t>Routine maintenance- Tyres &amp; Tubes</t>
  </si>
  <si>
    <t>Routine Maintenance-Other Assets</t>
  </si>
  <si>
    <t>Maintenance of Buildings and Stations - Non-Residential</t>
  </si>
  <si>
    <t>Total Current</t>
  </si>
  <si>
    <t>0703003710 P3: Human Resource Management Unit</t>
  </si>
  <si>
    <t>01</t>
  </si>
  <si>
    <t>0703013710 SP 3.1 Human Resource Management Unit</t>
  </si>
  <si>
    <t>Training Expenses-Other</t>
  </si>
  <si>
    <t>Total Recurrent</t>
  </si>
  <si>
    <t>0705003710 P4: Records Management</t>
  </si>
  <si>
    <t>0705013710 SP 4.1 Records Management</t>
  </si>
  <si>
    <t>0706003710 P6: Policy Development, Monitoring and Compliance</t>
  </si>
  <si>
    <t>0706013710 SP 6.1 Policy Development and Coordination and Monitoring functions</t>
  </si>
  <si>
    <t>Purchase of ICT networking and Communications Equipment (Asset Tagging and Asset Information Management System)</t>
  </si>
  <si>
    <t>Total Recurrent Budget-PSMGA</t>
  </si>
  <si>
    <t>Total Development Budget-PSMGA</t>
  </si>
  <si>
    <t>Total Public Service Management and General Administration Department</t>
  </si>
  <si>
    <t>0707003710 P7: Head of Public Service Administration (Office of the County Secretary)</t>
  </si>
  <si>
    <t>0707013710 SP 7.1 General Administration - County Secretary</t>
  </si>
  <si>
    <t xml:space="preserve">Catering Services (receptions), Accommodation, Gifts, Food and Drinks </t>
  </si>
  <si>
    <t>Maintenance expenses -Motor vehicle and cycles</t>
  </si>
  <si>
    <t>Routine maintenance- Other Assets</t>
  </si>
  <si>
    <t>Maintenance of Office Furniture and Equipment; carpet cleaning</t>
  </si>
  <si>
    <t>Purchase of Vehicles and Other Transport Equipment</t>
  </si>
  <si>
    <t>Purchase of Motor Vehicles</t>
  </si>
  <si>
    <t>0709003710 P8: Cabinet Affairs</t>
  </si>
  <si>
    <t>0709013710 SP 8.1 Cabinet Affairs</t>
  </si>
  <si>
    <t>Catering Services (receptions), Accommodation, Gifts, Food and Drinks)- To cater for cabinets sessions</t>
  </si>
  <si>
    <t>Purchase of ICT networking and Communications Equipment [(Tablets (iPads) and Cabinet Document Management System - paperless Cabinet system)]</t>
  </si>
  <si>
    <t>Total Office of the County Secretary</t>
  </si>
  <si>
    <t>Total Recurrent Budget-PSMGA and CS</t>
  </si>
  <si>
    <t>Total Development Budget-PSMGA and CS</t>
  </si>
  <si>
    <t>Total PSMGA Department and CS Office</t>
  </si>
  <si>
    <t>Governor's Service Unit and Public Communication</t>
  </si>
  <si>
    <t xml:space="preserve">Public Communication and Protocol </t>
  </si>
  <si>
    <t>2210505</t>
  </si>
  <si>
    <t>Trade shows and Exhibitions</t>
  </si>
  <si>
    <t>2210801</t>
  </si>
  <si>
    <t>2211016</t>
  </si>
  <si>
    <t>Purchase of Uniforms</t>
  </si>
  <si>
    <t xml:space="preserve">Refined Fuels and Lubricants </t>
  </si>
  <si>
    <t>Purchase of Household Furniture and Institutional Equipment</t>
  </si>
  <si>
    <t xml:space="preserve"> Purchase of Airconditioners, Fans and Heating Appliances</t>
  </si>
  <si>
    <t>Public Relations and Customer Care</t>
  </si>
  <si>
    <t>SEKEB  and Intergovernmental Relations</t>
  </si>
  <si>
    <t>Annual South Eastern Kenya Economic Block (SEKEB) stakeholders Forumn Facilitation</t>
  </si>
  <si>
    <t>Subscriptions to Council of Governors (Once per Year)</t>
  </si>
  <si>
    <t xml:space="preserve">Liaison committee meetings between the Governor and Members of the County Assembly, Development Partners, and community representatives (minimum of two forums) </t>
  </si>
  <si>
    <t xml:space="preserve">Executive retreat meetings involving the Governor, CECMs, Chief Officers, and Directors (minimum of two retreats) </t>
  </si>
  <si>
    <t xml:space="preserve">0707003710 P4: Monitoring and Evaluation </t>
  </si>
  <si>
    <t xml:space="preserve">0707013710 SP: 4.1: County Integrated Monitoring and Evaluation (Tracking of county programmes) </t>
  </si>
  <si>
    <t>PROTOCOL UNIT</t>
  </si>
  <si>
    <t>OFFICE OF THE COUNTY ATTORNEY</t>
  </si>
  <si>
    <t>Legal Dues/ Fees, Arbitration and Compensation Payments(including on-going cases)- with  - Outstanding Commitments for Budgeted Works/ Services Done, Valued and Not Paid by Close of FY 2025/26</t>
  </si>
  <si>
    <t>2211307</t>
  </si>
  <si>
    <t xml:space="preserve">Hire of Lawyers, </t>
  </si>
  <si>
    <t>OFFICE OF THE CHIEF OF STAFF</t>
  </si>
  <si>
    <t>Trade shows and Exbitions</t>
  </si>
  <si>
    <t>Total Governor's Service Delivery Unit (GSDU), SEKEB and Intergovernmental Relations</t>
  </si>
  <si>
    <t>Decentralized Units Service Delivery Cordination</t>
  </si>
  <si>
    <t>0705003710 P2:  County Government Administration and Field Services</t>
  </si>
  <si>
    <t xml:space="preserve"> 0705013710 SP2.1 Planning and Field administration services</t>
  </si>
  <si>
    <t>Basic Wages - Temporary Employees</t>
  </si>
  <si>
    <t>2110202</t>
  </si>
  <si>
    <t>Casual Labour( casual market cleaners 175 in NO.)</t>
  </si>
  <si>
    <t>Telephone, Telex, Facsimile and Mobile Phone Services</t>
  </si>
  <si>
    <t>Domestic Travel and Subsistence, and Other Transportation Costs (Decentralized units)</t>
  </si>
  <si>
    <t>Accommodation - Domestic Travel ( To cater for Facilitation of Vas, Sub County Admns, DSCA, Ward Admns During Meetings )</t>
  </si>
  <si>
    <t>Daily Subsistence Allowance( VAs paid 5,000 each(247), Ward Admns 7,000 Each (40), DSCA 8,000(8), Sub-C.Admins 10,000(8) )</t>
  </si>
  <si>
    <t>Publishing and Printing Services</t>
  </si>
  <si>
    <t>Rentals of Produced Assets</t>
  </si>
  <si>
    <t>Rents and Rates - Non-Residential (To cater for VAs and Ward Admns offices rent)</t>
  </si>
  <si>
    <t>Training Expenses</t>
  </si>
  <si>
    <t>Production and Printing of Training Materials</t>
  </si>
  <si>
    <t>Tuition Fees Allowance</t>
  </si>
  <si>
    <t>Boards, Committees, Conferences and Seminars - Ward Development Committee</t>
  </si>
  <si>
    <t>National Celebrations</t>
  </si>
  <si>
    <t>Medals, Awards and Honors</t>
  </si>
  <si>
    <t>Insurance for Plant and Machinery</t>
  </si>
  <si>
    <t>Motor Vehicle Insurance</t>
  </si>
  <si>
    <t>Specialised Materials and Supplies</t>
  </si>
  <si>
    <t>Purchase of Uniforms and Clothing - ( For all Vas, Was, DSCAs, SCAs, Directors and other DUSIR Staff )</t>
  </si>
  <si>
    <t>Specialised Materials - Other</t>
  </si>
  <si>
    <t>General Office Supplies (papers, pencils, forms, small office equipment) - Pending Bills</t>
  </si>
  <si>
    <t>Refined Fuels and Lubricants for Transport( To cater for 40 Motorbikes for Ward Admns offices and 10 motor vehicles(HQ and Sub-county))</t>
  </si>
  <si>
    <t>2211300</t>
  </si>
  <si>
    <t>Routine Maintenance - Other Assets</t>
  </si>
  <si>
    <t>Maintenance of Buildings and Stations -- Non-Residential</t>
  </si>
  <si>
    <t>Maintenance of Computers, Software, and Networks</t>
  </si>
  <si>
    <t xml:space="preserve"> Pre-feasibility, Feasibility and Appraisal Studies</t>
  </si>
  <si>
    <t>Sub Total Recurrent</t>
  </si>
  <si>
    <t>Development</t>
  </si>
  <si>
    <t xml:space="preserve"> Construction of Building</t>
  </si>
  <si>
    <r>
      <rPr>
        <sz val="12"/>
        <rFont val="Tahoma"/>
        <family val="2"/>
      </rPr>
      <t xml:space="preserve">Non-Residential Buildings (Offices,Schools, Hospitals)- </t>
    </r>
    <r>
      <rPr>
        <sz val="12"/>
        <color indexed="10"/>
        <rFont val="Tahoma"/>
        <family val="2"/>
      </rPr>
      <t>Completion of  Ward offices</t>
    </r>
  </si>
  <si>
    <t>3110299</t>
  </si>
  <si>
    <t>Construction of Buildings  (Completion of construction of Police stations along the Borderlines)</t>
  </si>
  <si>
    <t xml:space="preserve">Sub Total Developemt </t>
  </si>
  <si>
    <t>0706003710 P3: Devolution Services</t>
  </si>
  <si>
    <t>0706013710 SP 3.1:  Management of Devolution Affairs</t>
  </si>
  <si>
    <t>Advertising, Awareness and Publicity Campaigns (Civic Education)</t>
  </si>
  <si>
    <t>Trainer Allowance</t>
  </si>
  <si>
    <t xml:space="preserve"> Kenya School of Government</t>
  </si>
  <si>
    <r>
      <rPr>
        <sz val="12"/>
        <rFont val="Tahoma"/>
        <family val="2"/>
      </rPr>
      <t>General Office Supplies (</t>
    </r>
    <r>
      <rPr>
        <i/>
        <sz val="12"/>
        <color indexed="10"/>
        <rFont val="Tahoma"/>
        <family val="2"/>
      </rPr>
      <t>papers, pencils, forms, small office equipment-Supply of stationary for 247 VAs, 40 Was and 8 SCAs</t>
    </r>
    <r>
      <rPr>
        <sz val="12"/>
        <rFont val="Tahoma"/>
        <family val="2"/>
      </rPr>
      <t xml:space="preserve">) </t>
    </r>
  </si>
  <si>
    <t>Temporary committee expenses</t>
  </si>
  <si>
    <t xml:space="preserve">Recurrent </t>
  </si>
  <si>
    <t>Total Decentralized Unit</t>
  </si>
  <si>
    <t>TOTAL P.E</t>
  </si>
  <si>
    <t>TOTAL O&amp;M</t>
  </si>
  <si>
    <t>Total Development</t>
  </si>
  <si>
    <t xml:space="preserve">Total Vote 3711 </t>
  </si>
  <si>
    <t xml:space="preserve">VOTE 3728: OFFICE OF THE DEPUTY GOVERNOR </t>
  </si>
  <si>
    <t>0001</t>
  </si>
  <si>
    <t>100100 P1 General Administration, Planning and Support Services</t>
  </si>
  <si>
    <t>100101 SP. 1.1 General Administration, Planning and Support Services</t>
  </si>
  <si>
    <t>2210100</t>
  </si>
  <si>
    <t xml:space="preserve">Travel Costs (airlines, bus, railway, mileage allowances, etc.) </t>
  </si>
  <si>
    <t>Foreign Travel and Subsistence, and other transportation costs</t>
  </si>
  <si>
    <t>Travel Costs (airlines, bus, railway, etc.)</t>
  </si>
  <si>
    <t xml:space="preserve">Accommodation </t>
  </si>
  <si>
    <t xml:space="preserve">Advertising, Awareness and Publicity Campaigns </t>
  </si>
  <si>
    <t>Trade Shows and Exhibitions</t>
  </si>
  <si>
    <t>Training Expense (including capacity building) Locally</t>
  </si>
  <si>
    <t>2210712</t>
  </si>
  <si>
    <t xml:space="preserve">Trainee Allowance </t>
  </si>
  <si>
    <t>2210899</t>
  </si>
  <si>
    <t>Hospitality Supplies - Others</t>
  </si>
  <si>
    <t>Purchase of Uniforms and Clothing - Staff</t>
  </si>
  <si>
    <t xml:space="preserve">General Office Supplies (papers, pencils, forms, small office equipment, computers and accessories) </t>
  </si>
  <si>
    <t>Refined Fuels and Lubricants for Transport- Facilitate Deputy GVN movement</t>
  </si>
  <si>
    <t>2211203</t>
  </si>
  <si>
    <t>Refined Fuels and Lubricants---Other</t>
  </si>
  <si>
    <t>Routine Maintenance,  Vehicles and Other Transport Equipment, garbage handling machinery</t>
  </si>
  <si>
    <t>Maintenance Expenses - Motor Vehicles and cycles</t>
  </si>
  <si>
    <t>Purchase of Office furniture and fittings</t>
  </si>
  <si>
    <t>Purchase of other Office Equipment</t>
  </si>
  <si>
    <t>Recurrent</t>
  </si>
  <si>
    <t>Total P1 General Administration, Planning and Support Services</t>
  </si>
  <si>
    <t>1003023710 P. 2 Wildlife Conservation and Security</t>
  </si>
  <si>
    <t>1003023710 SP. 2.1 Wildlife Conservation and Security</t>
  </si>
  <si>
    <t>Basic Salaries -Permanent Employees</t>
  </si>
  <si>
    <t>0002</t>
  </si>
  <si>
    <t>Basic Salaries- Civil Service</t>
  </si>
  <si>
    <t>Utilities Suppliers and Services</t>
  </si>
  <si>
    <t xml:space="preserve">Telephone, Telex, Facsmile and Mobile Phone Services </t>
  </si>
  <si>
    <t>Field Operational Allowance</t>
  </si>
  <si>
    <t xml:space="preserve">Training Expenses </t>
  </si>
  <si>
    <t>Training Expenses - Other (Training of Rangers on handling of reptiles at NMK)</t>
  </si>
  <si>
    <t>Catering Services (receptions), Accommodation, Gifts, Food and Drinks &amp; Pending Bills</t>
  </si>
  <si>
    <t>National Celebrations (Wildlife Day)</t>
  </si>
  <si>
    <t xml:space="preserve"> Specialised Materials - Rangers Uniform, Surveilance Drones, and other Specialized supplies</t>
  </si>
  <si>
    <t>Supplies and Accessories for computers and printers</t>
  </si>
  <si>
    <t>Security Operations</t>
  </si>
  <si>
    <t>Other Operating Expenses -(Provision of Rations for Rangers)</t>
  </si>
  <si>
    <t>Routine Maintenance,  Vehicles and Other Transport Equipment</t>
  </si>
  <si>
    <t>Purchase of office furniture and general equipment</t>
  </si>
  <si>
    <t>Development vote</t>
  </si>
  <si>
    <t>Reptile stocking of Mutomo Reptile Park by National Museums of Kenya</t>
  </si>
  <si>
    <t>Reptile feeding for one year</t>
  </si>
  <si>
    <t>Snake handlers specialised training, induction and secondment National Museums of Kenya</t>
  </si>
  <si>
    <t>Snake handling Equipments and graphics</t>
  </si>
  <si>
    <t>Sub-total</t>
  </si>
  <si>
    <t>Total for SP. 2.1 Wildlife Conservation and Security</t>
  </si>
  <si>
    <t>0305003710 P 3: Tourism Development and Promotion</t>
  </si>
  <si>
    <t>0305013710 SP3.1 Tourism promotion and Marketing</t>
  </si>
  <si>
    <t>Basic Salaries Permanent Employee</t>
  </si>
  <si>
    <t>Basic Salary-Civil Service</t>
  </si>
  <si>
    <t xml:space="preserve">Daily Subsistence Allowance </t>
  </si>
  <si>
    <t>Advertising, Awareness and Publicity Campaigns (Tourism Promotion and Marketing events of familiarization trips, camping expeditions and end year tourism expos)</t>
  </si>
  <si>
    <t>Trade Shows and Exhibitions (Tourism investment and hospitality workshops)</t>
  </si>
  <si>
    <t>Printing, Advertising - Other</t>
  </si>
  <si>
    <t xml:space="preserve"> Hospitality Supplies and Services</t>
  </si>
  <si>
    <t>National Celebrations (World Tourism Day)</t>
  </si>
  <si>
    <t xml:space="preserve">Hospitality Supplies - other </t>
  </si>
  <si>
    <t>Research Allowance (Community sensitization on eco-tourism)</t>
  </si>
  <si>
    <t>Research Allowance Three hospitality symposiums.) Mwingi, Kitui, Mutomo</t>
  </si>
  <si>
    <t>Research Allowance (Branding of tourism attraction sites.)</t>
  </si>
  <si>
    <t>Total SP 3.1 Tourism Promotion and Marketing</t>
  </si>
  <si>
    <t>SP 3.2 0305033710 Tourism Infrastructure Development</t>
  </si>
  <si>
    <t>Basic Salaries permanent staff</t>
  </si>
  <si>
    <t xml:space="preserve">Other Infrastructure and Civil Works (Development phase 2 of Kalundu Eco-park (Perimeter fencing and ticketing system) </t>
  </si>
  <si>
    <t>Other Infrastructure and Civil Works (Landscaping around snake house) at Mutomo reptile park</t>
  </si>
  <si>
    <t>Other Infrastructure and Civil Works (Fencing of tourism land parcel ) at Nzambani Rock</t>
  </si>
  <si>
    <t>Other Infrastructure and Civil Works (Community-led tourism cultural centre  at Akamba Cultural Centre</t>
  </si>
  <si>
    <t>Other Infrastructure and Civil Works (Tourism infrastructure support for Site Support Groups) at Mumoni &amp; Mutitu Hills IBAs</t>
  </si>
  <si>
    <t xml:space="preserve">Other Infrastructure and Civil Works- (Renovation of Mutomo Snake House) </t>
  </si>
  <si>
    <t>Other Infrastructure and Civil Works- (Access road grading &amp; water pan desilting at Kanyonyoo)</t>
  </si>
  <si>
    <t>Total SP. Tourism infrastructure</t>
  </si>
  <si>
    <t>Total Recurrent Tourism</t>
  </si>
  <si>
    <t>Total Development Tourism</t>
  </si>
  <si>
    <t xml:space="preserve">Total Tourism </t>
  </si>
  <si>
    <t>0717003710 Performance Contracting, Disaster and Emergency Services</t>
  </si>
  <si>
    <t>SP1. 0717013710Performance Contracting.</t>
  </si>
  <si>
    <t>Publishing &amp; Printing Services</t>
  </si>
  <si>
    <t>Trainee Allowance (Allowance for PC Implementation)</t>
  </si>
  <si>
    <t xml:space="preserve">Boards, Committees, Conferences and Seminars (Inter-Ministerial Committee plus secretariat (Committee allowances and catering services)
</t>
  </si>
  <si>
    <t>2210807</t>
  </si>
  <si>
    <t>Medals, Awards and Honors (Performance Contracting Implementation)</t>
  </si>
  <si>
    <t>Contracted Professional Services (Evaluation and ranking 
of the departments (2 Weeks) done 
by independent evaluators)</t>
  </si>
  <si>
    <t>2211399</t>
  </si>
  <si>
    <t>Other Operating Expenses (Enhanced Budget for Monitoring of performance of  Performance Contract Indicators by Ministries)</t>
  </si>
  <si>
    <t>2220100</t>
  </si>
  <si>
    <t>Refurbishment of Buildings</t>
  </si>
  <si>
    <t>Refurbishment of Non-Residential Buildings</t>
  </si>
  <si>
    <t xml:space="preserve">Research and Prefeasibility studies </t>
  </si>
  <si>
    <t>Prefeasibility, feasibility and Appraisal studies</t>
  </si>
  <si>
    <t>SP2. 0717013710. Disaster and Emergency Services</t>
  </si>
  <si>
    <t>2210799</t>
  </si>
  <si>
    <t>Training Expense Other - Community Capacity Building and Training on Awareness and Response to Disaster</t>
  </si>
  <si>
    <t>Boards, Committees, Conferences and Seminars (Finalization of policy document (Disaster Risk Management and Emergency Services Policy)</t>
  </si>
  <si>
    <t>Purchase/Production of Photographic and Audio-Visual Materials</t>
  </si>
  <si>
    <t>Contracted Professional Services (For consultation on policy fomulation)</t>
  </si>
  <si>
    <t>Maintenance of Plant, Machinery and Equipment (including lifts)</t>
  </si>
  <si>
    <t>Construction and Civil Works</t>
  </si>
  <si>
    <t>Other Infrastructure and Civil Works (Construction and rehabilitation of projects affected by disasters and response to cases of emergencies)</t>
  </si>
  <si>
    <t>Other Infrastructure and Civil Works (Construction and installation of ICT infrastructure at the Emergency Response Centre)</t>
  </si>
  <si>
    <t xml:space="preserve">Other Infrastructure and Civil Works (Construction of Phase III Emergency 
Response Center) 
</t>
  </si>
  <si>
    <t>Prefeasibility, feasibility and Appraisal studies  (to define the scope  including the types of emergencies the Emergency Response center will respond to , the services it will provide (e.g., dispatch, on-site response, coordination with other agencies), and the geographic area it will cover.)</t>
  </si>
  <si>
    <t>Research Allowance (Research and mapping of disaster-prone areas in the county to enhance emergency preparedness and planning)</t>
  </si>
  <si>
    <t>Total Performance Contracting and Disaster Management</t>
  </si>
  <si>
    <t>Total Vote 3728</t>
  </si>
  <si>
    <t>VOTE 3729: MINISTRY OF WATER AND IRRIGATION</t>
  </si>
  <si>
    <t xml:space="preserve"> 0101003710 P1: General Administration Planning and Support Services</t>
  </si>
  <si>
    <t>0101013710 SP 1.1 Administration Services</t>
  </si>
  <si>
    <t xml:space="preserve">Civil Service </t>
  </si>
  <si>
    <t>Leave Allowances</t>
  </si>
  <si>
    <t>Domestic Travel and Subsistence, and Other Transportation</t>
  </si>
  <si>
    <t>Travel Costs (bus, railway, mileage allowances, etc.)</t>
  </si>
  <si>
    <t>Accommodation-Domestic travel</t>
  </si>
  <si>
    <t>Accomodation</t>
  </si>
  <si>
    <t xml:space="preserve"> Training Expenses</t>
  </si>
  <si>
    <t xml:space="preserve"> Travel Allowance</t>
  </si>
  <si>
    <t xml:space="preserve"> Production and Printing of Training Materials</t>
  </si>
  <si>
    <t xml:space="preserve"> Hire of Training Facilities and Equipment</t>
  </si>
  <si>
    <t>Catering Services(receptions), accomodation, Gifts, Food and Drinks</t>
  </si>
  <si>
    <t xml:space="preserve"> Office and General Supplies and Services</t>
  </si>
  <si>
    <t>General Office Supplies (papers, pencils forms, small office equipment,etc.)</t>
  </si>
  <si>
    <t>Total SP Administration Services</t>
  </si>
  <si>
    <t>WATER</t>
  </si>
  <si>
    <t>0101013710 SP 1.1 Administration Services (Water Department)</t>
  </si>
  <si>
    <t>Tuition Fees</t>
  </si>
  <si>
    <t>Construction of Building</t>
  </si>
  <si>
    <t>0111003710 P.4 Water Resources Management</t>
  </si>
  <si>
    <t>0111013710 SP. 4.1 Water Storage and Flood Control</t>
  </si>
  <si>
    <t xml:space="preserve"> Utilities Supplies and Services</t>
  </si>
  <si>
    <t xml:space="preserve"> Communication, Supplies and Services</t>
  </si>
  <si>
    <t>Travel allowance</t>
  </si>
  <si>
    <t>Accommodation allowance</t>
  </si>
  <si>
    <t xml:space="preserve">Maintenance Expenses - Motor Vehicles and cycles </t>
  </si>
  <si>
    <t>Maintenanance of Plant machinery &amp; Equipment</t>
  </si>
  <si>
    <t xml:space="preserve"> Refurbishment of Buildings</t>
  </si>
  <si>
    <t>Research,Feasibility Studies, Project Preparation and Design, Project Supervision</t>
  </si>
  <si>
    <t>Pre-feasibility, Feasibility and Appraisal Studies</t>
  </si>
  <si>
    <t>Recurrent Sub Total</t>
  </si>
  <si>
    <t>Construction and Civil Works (Construction of water structures)</t>
  </si>
  <si>
    <t xml:space="preserve">Other Infrastructure and Civil Works (Construction of Water Structures) </t>
  </si>
  <si>
    <t>Sub Total Development</t>
  </si>
  <si>
    <t>0111023710 SP. 4.2  Water Supply Infrastructure</t>
  </si>
  <si>
    <t xml:space="preserve"> 305 Recurrent Department of Water</t>
  </si>
  <si>
    <t>Research, Feasibility Studies, Project Preparation and Design, Project Supervision</t>
  </si>
  <si>
    <t>Construction and Civil Works (Repairs and Rehabilitations)</t>
  </si>
  <si>
    <t>Other Infrastructure and Civil Works (Repairs &amp; Rehabilitations)</t>
  </si>
  <si>
    <t>Other Infrastructure and Civil Works (Repairs &amp; Rehabilitations) - Pending Bills as approved by PBRC</t>
  </si>
  <si>
    <t>Capacity building of water management committees</t>
  </si>
  <si>
    <t>Cash For Assets (CFA) Water pipeline extensions</t>
  </si>
  <si>
    <t>Subsidies to Non- Financial Public Enterprises</t>
  </si>
  <si>
    <t>Subsidies to Non- Financial (other budget - KITWASCO/KIMWASCO)</t>
  </si>
  <si>
    <t>Other non-current transfers (Feasibility studies, surveys, designs, drilling - direct costs)</t>
  </si>
  <si>
    <t>Total on WATER</t>
  </si>
  <si>
    <t>#2</t>
  </si>
  <si>
    <t>IRRIGATION</t>
  </si>
  <si>
    <t>0104003710 P4: Irrigation and drainage infrastructure (Farm water resource development and irrigation)</t>
  </si>
  <si>
    <t>0104013710 SP 4.1 Small scale cluster irrigation development</t>
  </si>
  <si>
    <t>Training allowance</t>
  </si>
  <si>
    <t>Training Expenses - Capacity Building of Farmers</t>
  </si>
  <si>
    <t>Agricultural Materials, Supplies and Small Equipment</t>
  </si>
  <si>
    <t xml:space="preserve"> Routine Maintenance - Other Assets</t>
  </si>
  <si>
    <t>Sub Total</t>
  </si>
  <si>
    <t>Water harvesting for smallscale irrigation project</t>
  </si>
  <si>
    <r>
      <rPr>
        <sz val="12"/>
        <rFont val="Tahoma"/>
        <family val="2"/>
      </rPr>
      <t xml:space="preserve">Other Infrastructure and Civil Works (Construction of </t>
    </r>
    <r>
      <rPr>
        <b/>
        <sz val="12"/>
        <rFont val="Tahoma"/>
        <family val="2"/>
      </rPr>
      <t xml:space="preserve">80 </t>
    </r>
    <r>
      <rPr>
        <sz val="12"/>
        <rFont val="Tahoma"/>
        <family val="2"/>
      </rPr>
      <t>sand dams -</t>
    </r>
    <r>
      <rPr>
        <b/>
        <sz val="12"/>
        <rFont val="Tahoma"/>
        <family val="2"/>
      </rPr>
      <t xml:space="preserve"> 2 per ward</t>
    </r>
    <r>
      <rPr>
        <sz val="12"/>
        <rFont val="Tahoma"/>
        <family val="2"/>
      </rPr>
      <t xml:space="preserve"> for irrigation)</t>
    </r>
  </si>
  <si>
    <t>Construction of Cluster irrigation projects</t>
  </si>
  <si>
    <t>Other Infrastructure and Civil Works (Solar powered irrigation)</t>
  </si>
  <si>
    <t>Pending Bills - Irrigation infrastructure projects</t>
  </si>
  <si>
    <t xml:space="preserve">Training and Capacity Building of Farmers in Irrigation Clusters  </t>
  </si>
  <si>
    <t>Total on IRRIGATION</t>
  </si>
  <si>
    <t xml:space="preserve">Total Recurrent </t>
  </si>
  <si>
    <t>Total Vote 3729</t>
  </si>
  <si>
    <t>VOTE 3730: MINISTRY OF EDUCATION, TRAINING AND SKILLS DEVELOPMENT</t>
  </si>
  <si>
    <t>0501013710 SP 1.1: General Administration and Planning</t>
  </si>
  <si>
    <t>Foreign travel and subsistence and other transportation cost</t>
  </si>
  <si>
    <t>Catering Services (receptions), Accommodation, Gifts, Food and Drinks &amp;  - Outstanding Commitments for Budgeted Works/ Services Done, Valued and Not Paid by Close of FY 2023/24</t>
  </si>
  <si>
    <t>Staff Expenses other</t>
  </si>
  <si>
    <t>Staff Uniforms</t>
  </si>
  <si>
    <t>ECDE Co-Curricular activities</t>
  </si>
  <si>
    <t>Purchase of Office Furniture and fittings</t>
  </si>
  <si>
    <t>Total of 0001-01 General Administration and Planning</t>
  </si>
  <si>
    <t>Basic Education Department</t>
  </si>
  <si>
    <t>Basic Education, ECDE &amp; Childcare Facilities</t>
  </si>
  <si>
    <t>0502003710 P.2: Primary Education</t>
  </si>
  <si>
    <t>0502013710 SP 2.1: Early Child Development</t>
  </si>
  <si>
    <t>KSG</t>
  </si>
  <si>
    <t>Catering Services (receptions), Accommodation, Gifts, Food and Drinks &amp;  - Outstanding Commitments for Budgeted Works/ Services Done, Valued and Not Paid by Close of FY 2024/25</t>
  </si>
  <si>
    <t>Training Expenses-Training of ECDE  teachers on CBC curriculum</t>
  </si>
  <si>
    <t>Training Expenses - M&amp;E of ECDE programmes</t>
  </si>
  <si>
    <t>Membership Fees, Dues and Subscriptions to Professional and Trad</t>
  </si>
  <si>
    <t>2640100</t>
  </si>
  <si>
    <t>Scholarships and other Educational Benefits</t>
  </si>
  <si>
    <t>Scholarships and other Educational Benefits (Pro-Poor Programme) (72% - Bursaries)</t>
  </si>
  <si>
    <t>Scholarships and other Educational Benefits (Pro-Poor Programme) (3% - Administrative Budget)</t>
  </si>
  <si>
    <t xml:space="preserve">Research, Feasibility Studies, Project Preparation &amp; Design, Project S </t>
  </si>
  <si>
    <t xml:space="preserve">M&amp;E of ECDE programmes </t>
  </si>
  <si>
    <t>Purchase of Office Furniture and General Equipment (Furniture for Sub County ECDE Coordinators)</t>
  </si>
  <si>
    <t>Non-residential buildings-  - Outstanding Commitments for Budgeted Works/ Services Done, Valued and Not Paid by Close of FY 2023/24</t>
  </si>
  <si>
    <t>Non-residential buildings- Construction of ECDE classrooms</t>
  </si>
  <si>
    <t>Purchase of specialised plant equipment and machinery</t>
  </si>
  <si>
    <t>Furnishing and equipping of mother homecraft centre</t>
  </si>
  <si>
    <t xml:space="preserve">Education support programme (Pro-poor)- pro-poor infrastructure support programme 25%: </t>
  </si>
  <si>
    <t>Development sub total</t>
  </si>
  <si>
    <t>Total SP Early Child Development</t>
  </si>
  <si>
    <t>Polytechnics, Vocational Centres and Homecraft Centres</t>
  </si>
  <si>
    <t>Department Training and Skills Development</t>
  </si>
  <si>
    <t>0503003710 P3:  Training and Development</t>
  </si>
  <si>
    <t>0503013710 SP 3.1: Revitalization of Youth Polytechnics</t>
  </si>
  <si>
    <t>Advertising, Awareness and Publicity Campaigns- Destigmatizing of VTCs through sensitization campaigns</t>
  </si>
  <si>
    <t xml:space="preserve">Travel Allowance </t>
  </si>
  <si>
    <t>Trainee Allowance</t>
  </si>
  <si>
    <t>Training expenses (Capacity building of VTC instructors and Board of Governors)</t>
  </si>
  <si>
    <t>Boards, Committees, Conferences and Seminars Support reqular meetings for Boards of Management of VTCs for updates)</t>
  </si>
  <si>
    <t>Purchase of Furniture and other Equipment</t>
  </si>
  <si>
    <t>Purchase of Computers,Printers &amp; IT equipment</t>
  </si>
  <si>
    <t>purchase of other Office equipment</t>
  </si>
  <si>
    <t>Pre-Feasibility, Feasibility and Appraisal Studies (Co-Curricular activities fo VTC centers)</t>
  </si>
  <si>
    <t>Construction of Buldings</t>
  </si>
  <si>
    <t>Other infrastructure and civil works-Refurbishment and construction of VTCs ( Workshops &amp; Dormitories)</t>
  </si>
  <si>
    <t>Kitui County Village Polytechnics Grant - Revote</t>
  </si>
  <si>
    <t>Other infrastructure and civil works- Construction of Mother Homecraft Centre.</t>
  </si>
  <si>
    <t>Training expenses- Matching fund for 2Jiajiri partnership Programme</t>
  </si>
  <si>
    <t>0504013710 P5: Quality Assurance and Standards</t>
  </si>
  <si>
    <t>0003</t>
  </si>
  <si>
    <t>0503013710 SP 5.1: Examination and Certification</t>
  </si>
  <si>
    <t>VTC Grade Test Examination Fees</t>
  </si>
  <si>
    <t>pre-Feasibility, Feasibility and Appraisal Studies</t>
  </si>
  <si>
    <t>Regular Assessment of Curriculum implementation and management of VTCs</t>
  </si>
  <si>
    <t>Total Polytechnics, Vocational Centres and Homecraft Centres</t>
  </si>
  <si>
    <t>Total Vote 3730</t>
  </si>
  <si>
    <t>VOTE 3731: MINISTRY OF ROADS, PUBLIC WORKS &amp; TRANSPORT</t>
  </si>
  <si>
    <t>0101013710: 1.1: Administration, Planning and support services</t>
  </si>
  <si>
    <t>Internet connection</t>
  </si>
  <si>
    <t>Sundry Items (Airpot tax, taxis etc)</t>
  </si>
  <si>
    <t>Purchase of Tyres and other equipments wearing parts</t>
  </si>
  <si>
    <t>Purchase of office Furniture and Fittings</t>
  </si>
  <si>
    <t>Purchase of Computers,printers and other IT Equipment</t>
  </si>
  <si>
    <t>Total for General Administration &amp; Planning</t>
  </si>
  <si>
    <t>Roads &amp; Public Works</t>
  </si>
  <si>
    <t>0109003710: Public Works</t>
  </si>
  <si>
    <t>0109013710: Stalled and New government Buildings</t>
  </si>
  <si>
    <t>Travel Costs (airlines, bus, railway, mileageallowances, etc.)</t>
  </si>
  <si>
    <t>Accommodation  Allowance</t>
  </si>
  <si>
    <t>Kenya School of Governement</t>
  </si>
  <si>
    <t>Contracted Guards and Cleaning Services</t>
  </si>
  <si>
    <t>Feasibility Study, Engineeering and Designs (to promote designs, strength of materials and software for production of quality structures )</t>
  </si>
  <si>
    <t>Total for Department of Public Works</t>
  </si>
  <si>
    <t>Department of Public Works</t>
  </si>
  <si>
    <t>Construction of Building/ Construction of Offices &amp; Stores</t>
  </si>
  <si>
    <t>1. Perimeter wall fencing of Chief Officers – Roads and Public Works Compound and sanitation facilities and Fence at Public Works Offices at Zombe.                                              2. Installation of Solar Security Lights at Chief Officer's Offices and Public Works HQ</t>
  </si>
  <si>
    <t>Renovation of Public works HQ Block 2 and installation of 2 water tanks of 10,000 litres at Public HQ and Public Works Office at Kauwi in Kitui West.</t>
  </si>
  <si>
    <t>Walling and storm water drainage of the Northern Part of Ithookwe Stadium</t>
  </si>
  <si>
    <t>Total for Department for Department of Public Works</t>
  </si>
  <si>
    <t>Total SP for Department of Public works</t>
  </si>
  <si>
    <t>Department of Roads</t>
  </si>
  <si>
    <t>0110003710: Roads</t>
  </si>
  <si>
    <t>0110013710: Construction of Roads and Bridges</t>
  </si>
  <si>
    <t>Kenya School of Governemnt</t>
  </si>
  <si>
    <t>Feasibility study, Engineering and Designs</t>
  </si>
  <si>
    <t>Total for Department of Roads</t>
  </si>
  <si>
    <t>Construction of Roads</t>
  </si>
  <si>
    <t>Major Roads  - Construction and maintenance of roads, box culverts, slabs and drifts</t>
  </si>
  <si>
    <t>Major Roads (Road’s construction works and maintenance of box culverts, drifts, gravelling, concrete slabs, gabions)</t>
  </si>
  <si>
    <t>Construction of Roads - ( Road widening works.) - Bush and Road Clearance</t>
  </si>
  <si>
    <t>Access Roads (Fuel maintenance of plant and machinery)</t>
  </si>
  <si>
    <t>Total for Development for Department of Roads</t>
  </si>
  <si>
    <t>Total SP for Development for Department of Roads</t>
  </si>
  <si>
    <t>Transport and Boda Boda</t>
  </si>
  <si>
    <t>Refined  Lubricants for Transport</t>
  </si>
  <si>
    <t>Maintenance of Plant, Machinery and Equipment</t>
  </si>
  <si>
    <t>Purchase of Computers,printers and other IT equipment</t>
  </si>
  <si>
    <t>Research, Feasibility Studies, Project Preparation and Design, Projects</t>
  </si>
  <si>
    <t>Transport and Mechanical Services</t>
  </si>
  <si>
    <t>0203013710 Department of Mechanical Services</t>
  </si>
  <si>
    <t>Maintenance of Ministry Motor Vehicles</t>
  </si>
  <si>
    <t>Completion and Equipping with Spares, Small Equipment’s and Tools for Motor Vehicle inspection Workshop and Offices.</t>
  </si>
  <si>
    <t>Purchase of Roads Plant Machinery tyres, wearing parts and accessories.</t>
  </si>
  <si>
    <t>Department of Transport and Boda Boda</t>
  </si>
  <si>
    <t>Rehabilitation, Repair and Reallocation of 40No of Boda Boda Shades.</t>
  </si>
  <si>
    <t>Training Expense (including Capacity Building)</t>
  </si>
  <si>
    <t>Carry out Sensitization forums to Boda Boda riders on formation of Boda Boda SACCOs and Self-Help Groups to raise thewelfare of operators.</t>
  </si>
  <si>
    <t>Implementation of National Road Safety Action Plan 2024 - 2028 through County Transport and Safety Committee</t>
  </si>
  <si>
    <t>Implementation, Monitoring, Evaluation and Learning of Kitui County Boda Boda policy</t>
  </si>
  <si>
    <t>Total for Development for Transport and Boda Boda</t>
  </si>
  <si>
    <t>Total SP for Development for Transport, Mechanical and Boda Boda</t>
  </si>
  <si>
    <r>
      <rPr>
        <b/>
        <sz val="12"/>
        <color rgb="FF6F2F9F"/>
        <rFont val="Tahoma"/>
        <family val="2"/>
      </rPr>
      <t>Total Recurrent</t>
    </r>
  </si>
  <si>
    <r>
      <rPr>
        <b/>
        <sz val="12"/>
        <color rgb="FF6F2F9F"/>
        <rFont val="Tahoma"/>
        <family val="2"/>
      </rPr>
      <t>Total Development</t>
    </r>
  </si>
  <si>
    <r>
      <rPr>
        <b/>
        <sz val="12"/>
        <color rgb="FF6F2F9F"/>
        <rFont val="Tahoma"/>
        <family val="2"/>
      </rPr>
      <t>Total Vote 3731</t>
    </r>
  </si>
  <si>
    <t>VOTE 3716: MINISTRY OF HEALTH AND SANITATION</t>
  </si>
  <si>
    <t>MEDICAL SERVICES</t>
  </si>
  <si>
    <t>0401003710 P 1  GENERAL ADMINISTRATION, PLANNING &amp; SUPPORT SERVICES</t>
  </si>
  <si>
    <t>0401013710 SP 1.1 HUMAN RESOURCE MANAGEMENT {GENERAL ADMINISTRATION AND PUBLIC PARTICIPATION}</t>
  </si>
  <si>
    <t xml:space="preserve">Basic Salaries - Civil Service </t>
  </si>
  <si>
    <t>Casual Labour - Others (Locum for nurses,lab techs and RCOs for level  3 facilities-4.5M+ CHMT casuals-1.8M)</t>
  </si>
  <si>
    <t xml:space="preserve"> Accommodation - Domestic Travel</t>
  </si>
  <si>
    <t xml:space="preserve">Publishing and Printing Services </t>
  </si>
  <si>
    <t xml:space="preserve">Advertising, Awareness and Publicity Campaigns(printing of assorted registers and reporting tools ) </t>
  </si>
  <si>
    <t>Training Expense (including capacity building+ Training of Health facility management committees)</t>
  </si>
  <si>
    <t>Training Fees</t>
  </si>
  <si>
    <t>Training Expenses - Other</t>
  </si>
  <si>
    <t>Boards and committees - Management Committees</t>
  </si>
  <si>
    <t xml:space="preserve">Sanitary and Cleaning Materials, Supplies and Services </t>
  </si>
  <si>
    <t>Legal Dues/fees, Arbitration and Compensation Payments</t>
  </si>
  <si>
    <t>Maintenance expenses- motor vehicle ( ambulances + utility vehicles)</t>
  </si>
  <si>
    <t>Total Recurent</t>
  </si>
  <si>
    <t>TOTAL- SP 1.1 (040404) HUMAN RESOURCE MANAGEMENT {GENERAL ADMINISTRATION AND PUBLIC PARTICIPATION}</t>
  </si>
  <si>
    <t>0401033710 SP. 1.3 HEALTH STANDARDS, QUALITY ASSURANCE &amp; STANDARDS (SUB-COUNTY SUPPORT SUB- PROGRAMME)</t>
  </si>
  <si>
    <t>Sub-County Health Management Team support programme</t>
  </si>
  <si>
    <t>TOTAL- SUB- PROGRAMME:  SP. 1.2 HEALTH STANDARDS, QUALITY ASSURANCE &amp; STANDARDS (SUB-COUNTY SUPPORT SUB- PROGRAMME)</t>
  </si>
  <si>
    <t xml:space="preserve"> 0401023710 SP. 1.2 HEALTH POLICY, PLANNING &amp; FINANCING</t>
  </si>
  <si>
    <t xml:space="preserve"> Development (040102)</t>
  </si>
  <si>
    <t>Non-Residential Buildings (offices, schools, hospitals, etc..)</t>
  </si>
  <si>
    <t>Facility Improvement Fund (FIF) – Hospitals (AIA)-Continuation of construction of Mother and Child Block at Mwingi Level IV Hospital</t>
  </si>
  <si>
    <t>Facility Improvement Fund (FIF) – Hospitals (AIA)-Continuation of stalled construction of Maternity/Pediatric  and Amenity/Surgical Wards at KCRH and</t>
  </si>
  <si>
    <t>TOTAL- SP. 1.2 (040102) HEALTH POLICY, PLANNING &amp; FINANCING</t>
  </si>
  <si>
    <t>TOTAL-PROGRAMM:  P.1 GENERAL ADMINISTRATION, PLANNING &amp; SUPPORT SERVICES</t>
  </si>
  <si>
    <t>0402023710 SP 3.2  County Referral Services {Ambulance Referal Services Sub- Programme}</t>
  </si>
  <si>
    <t xml:space="preserve">Total   </t>
  </si>
  <si>
    <t>0402033710  Other Current Transfers</t>
  </si>
  <si>
    <t xml:space="preserve"> HOSPITAL FIF /COST SHARING REFunds FOR THE 14 COUNTY HOSPITALS - Appropriation - In - Aid (A-I-A)</t>
  </si>
  <si>
    <t xml:space="preserve">2640400 </t>
  </si>
  <si>
    <t>Other Current Transfers, Grants and Subsidies</t>
  </si>
  <si>
    <t>2640499</t>
  </si>
  <si>
    <t xml:space="preserve">KITUI COUNTY REFERRAL </t>
  </si>
  <si>
    <t>KITUI COUNTY REFERRAL-AMENITY</t>
  </si>
  <si>
    <t>MWINGI SUB COUNTY HOSPITAL</t>
  </si>
  <si>
    <t>MWINGI SUB COUNTY HOSPITAL-AMENITY</t>
  </si>
  <si>
    <t>MIGWANI SUB COUNTY HOSPITAL</t>
  </si>
  <si>
    <t>KATULANI HOSPITAL</t>
  </si>
  <si>
    <t>MUTITU SUB COUNTY HOSPITAL</t>
  </si>
  <si>
    <t>IKANGA HOSPITAL</t>
  </si>
  <si>
    <t>NUU SUB COUNTY HOSPITAL</t>
  </si>
  <si>
    <t>KANYANGI SUB COUNTY HOSPITAL</t>
  </si>
  <si>
    <t>KYUSO SUB COUNTY HOSPITAL</t>
  </si>
  <si>
    <t>KAUWI SUB COUNTY HOSPITAL</t>
  </si>
  <si>
    <t>TSEIKURU SUB COUNTY HOSPITAL</t>
  </si>
  <si>
    <t>IKUTHA SUB COUNTY HOSPITAL</t>
  </si>
  <si>
    <t>MUTOMO HOSPITAL</t>
  </si>
  <si>
    <t>ZOMBE HOSPITAL</t>
  </si>
  <si>
    <t xml:space="preserve">Primary Health Care facilities </t>
  </si>
  <si>
    <t>0004</t>
  </si>
  <si>
    <t>0402013710 OTHER CURRENT TRANSFERS-OTHER</t>
  </si>
  <si>
    <t>County Primary Health Care facilities funding (health centres)</t>
  </si>
  <si>
    <t>TOTAL</t>
  </si>
  <si>
    <t>0402013710 OTHER CAPITAL GRANTS AND TRANSFERS</t>
  </si>
  <si>
    <t>Grants adjustments (HSSP/HSPS – DANIDA/IDA) and settlement of doctors’ salary arrears</t>
  </si>
  <si>
    <t>DANIDA counterpart county funding (100%)</t>
  </si>
  <si>
    <t xml:space="preserve"> TOTAL CAPITAL GRANTS </t>
  </si>
  <si>
    <t>Total Recurrent Medical Services</t>
  </si>
  <si>
    <t>Total Development Medical Services</t>
  </si>
  <si>
    <t>TOTAL MEDICAL SERVICES</t>
  </si>
  <si>
    <t>PUBLIC HEALTH AND SANITATION</t>
  </si>
  <si>
    <t xml:space="preserve">0403003710 P2: PREVENTIVE &amp; PROMOTIVE HEALTH SERVICES </t>
  </si>
  <si>
    <t>0403023710</t>
  </si>
  <si>
    <t>Casual Labour - Others (Stipents for Community Health Volunteers)(247 villages 10 CHvs per village*3000 monthly stipend for 12 months)</t>
  </si>
  <si>
    <t xml:space="preserve">Advertising, Awareness and Publicity Campaigns(printing of assorted registers and reporting tools  for community health services) </t>
  </si>
  <si>
    <t>Catering Services (receptions), Accommodation, Gifts, Food and Drinks )</t>
  </si>
  <si>
    <t>Maintenance expenses- motor vehicles</t>
  </si>
  <si>
    <t>Community Health Promoters Grant (Other Current Transfers)</t>
  </si>
  <si>
    <t>Facility Improvement Fund (FIF) – Hospitals (AIA)-Repair and renovation of Kyuso, Mutomo and Nuu mortuaries</t>
  </si>
  <si>
    <t>Purchase of Medical and Dental Equipment</t>
  </si>
  <si>
    <t>Facility Improvement Fund (FIF) – Hospitals (AIA)-Equipping, landscaping and installation of gates for newly constructed mortuaries at KCRH and Mwingi Level IV Hospital (including mortuary coolers)</t>
  </si>
  <si>
    <t>Total development</t>
  </si>
  <si>
    <t>0404043710 PRIMARY CARE NETWORKS (Establishment and Strengthening  of primary care networks in the county (training and sensitization)</t>
  </si>
  <si>
    <t>Sub-Total Recurrent</t>
  </si>
  <si>
    <t xml:space="preserve"> Universal Healthcare in Devolved System Program from DANIDA - To support level 1 facilities</t>
  </si>
  <si>
    <t xml:space="preserve">0404033710 SP. 2.2 IMMUNIZATION AND DISEASE SURVEILLANCE </t>
  </si>
  <si>
    <t xml:space="preserve"> Domestic Travel and Subsistence, and Other Transportation Costs</t>
  </si>
  <si>
    <t>Other Fuels (wood, charcoal, cooking gas etc?)</t>
  </si>
  <si>
    <t>0005</t>
  </si>
  <si>
    <t>0403033710 SP 2.3 HEALTH PROMOTION SUB PROGRAMME(HIV/ AIDS &amp; TB SUB PROGRAMME)</t>
  </si>
  <si>
    <t xml:space="preserve">SUB PROGRAMME: 2.4 (040301) COMMUNICABLE DISEASE CONTROL {Public health Operations - Programme} </t>
  </si>
  <si>
    <t>SUB PROGRAMME: 2.5 (040302) NON-COMMUNICABLE DISEASE PREVENTION &amp; CONTROL {Nutrition sub programme}</t>
  </si>
  <si>
    <t>Domestic Travel and Subsistence, and Other Transportation Costs (Baby Friendly Community Initiative (BFCI- Nutrition promotion activities for under-fives) and malezi bora programme(Vitamin A supplementation and deworming)</t>
  </si>
  <si>
    <t>SUB-TOTAL</t>
  </si>
  <si>
    <t>SUB PROGRAMME: 2.6:(040401) HEALTH PROMOTION</t>
  </si>
  <si>
    <t>Casual Labour -Others (Locum for nurses,lab techs and RCOs for level  2 facilities)</t>
  </si>
  <si>
    <t>Advertising, Awareness and Publicity Campaigns (Radio Talkshows)</t>
  </si>
  <si>
    <t>Trade Shows and Exhibitions (Commemorate World Health days, agricultural show and trade fair)</t>
  </si>
  <si>
    <t xml:space="preserve"> Other Current Transfers, Grants and Subsidies</t>
  </si>
  <si>
    <t xml:space="preserve"> Other Current Transfers - Other (County Primary Health Care facilities funding (dispensaries))</t>
  </si>
  <si>
    <t>SP. 3.3 (040402) Specilalised Services { Mobile Health Clinic Services and rehabilitative services Sub- Programme}</t>
  </si>
  <si>
    <t>Total SP 3.3</t>
  </si>
  <si>
    <t>Total Recurrent Public Health and Sanitation</t>
  </si>
  <si>
    <t>Total Development Public Health and Sanitation</t>
  </si>
  <si>
    <t>TOTAL PUBLIC HEALTH AND SANITATION</t>
  </si>
  <si>
    <t>DRUGS AND MEDICAL SUPPLIES MANAGEMENT</t>
  </si>
  <si>
    <t>0402003710 P.3 CURATIVE HEALTH SERVICES</t>
  </si>
  <si>
    <t>0006</t>
  </si>
  <si>
    <t>0402013710 SP. 3.1 FORENSIC AND DIAGNOSTICS {Health Products and Technologies)</t>
  </si>
  <si>
    <t xml:space="preserve">Casual Labour </t>
  </si>
  <si>
    <t xml:space="preserve"> Travel Costs (airlines, bus, railway, mileage allowances, etc.)</t>
  </si>
  <si>
    <t xml:space="preserve">Daily Subsistence Allowance  </t>
  </si>
  <si>
    <t>Advertising, Awareness and Publicity Campaigns (Printing and Distribution of assorted Registers and Summary tools)</t>
  </si>
  <si>
    <t>Pharmaceutical Medical Items</t>
  </si>
  <si>
    <t>Dressings and Other Non-Pharmaceutical Medical Items</t>
  </si>
  <si>
    <t xml:space="preserve">Facility Improvement Fund (FIF) – Hospitals (AIA)-Pharmaceuticals and Non-Pharmaceuticals </t>
  </si>
  <si>
    <t>Maintenance expenses- motor vehicle</t>
  </si>
  <si>
    <t xml:space="preserve">2220203 </t>
  </si>
  <si>
    <t>Maintenance of Medical and Dental Equipment (maintenance of haematology,  biochemistry, CT scan, Ultra sound machines, mortury coolants,washing machines, generators, renal dialysis machine,anaesthesia,oxygen analyser, ECG machines, water purification machine at the dialysis unit)</t>
  </si>
  <si>
    <t xml:space="preserve">Purchase of Computers, Printers and other IT Equipment </t>
  </si>
  <si>
    <t xml:space="preserve">Development </t>
  </si>
  <si>
    <t>Facility Improvement Fund (FIF) – Hospitals (AIA)-Equipping of Mutomo Sub-County Hospital Theatre</t>
  </si>
  <si>
    <t>Facility Improvement Fund (FIF) – Hospitals (AIA)-Equipping of Kanziko Health Centre for newly constructed structures</t>
  </si>
  <si>
    <t>Facility Improvement Fund (FIF) – Hospitals (AIA)-Equipping of Mutitu Theatre</t>
  </si>
  <si>
    <t>Facility Improvement Fund (FIF) – Hospitals (AIA)-Purchase of medical equipment for rehabilitation departments in Ikutha and Nuu (occupational therapy and physiotherapy)</t>
  </si>
  <si>
    <t>Facility Improvement Fund (FIF) – Hospitals (AIA)-Equipping of Yatta Health Centre for newly constructed structures</t>
  </si>
  <si>
    <t>Facility Improvement Fund (FIF) – Hospitals (AIA)- Equipping of Kanyangi Sub-County Hospital (Resuscitaires and Ultrasound Machine)</t>
  </si>
  <si>
    <t>Facility Improvement Fund (FIF) – Hospitals (AIA)- Equipping and furnishing of the new KCRH Blood Satellite</t>
  </si>
  <si>
    <t>Equipping of Kyuso Sub-County Hospital for newly constructed structures</t>
  </si>
  <si>
    <t>Equipping of 26 new dispensaries with basic medical equipment</t>
  </si>
  <si>
    <t>Facility Improvement Fund (FIF) – Hospitals (AIA)-Upgrading of medical stores (shelving, ceiling, tiling, air conditioning) at Katulani, Kauwi and Tseikuru Sub-County Hospitals</t>
  </si>
  <si>
    <t>Sub-total Development</t>
  </si>
  <si>
    <t>Total Recurrent Drugs and Medical Supplies</t>
  </si>
  <si>
    <t>Total Development Drugs and Medical Supplies</t>
  </si>
  <si>
    <t xml:space="preserve">TOTAL DRUGS AND MEDICAL SUPPLIES </t>
  </si>
  <si>
    <t>Total Vote 3716</t>
  </si>
  <si>
    <t>VOTE 3732: MINISTRY OF TRADE, INDUSTRY, MSMEs, INNOVATIONS &amp; COOPERATIVES</t>
  </si>
  <si>
    <t>030101 P.1 General administration planning and support services</t>
  </si>
  <si>
    <t>Basic Salaries - Civil Service ( consolidated)</t>
  </si>
  <si>
    <t>Electricity (various markets and existing plants)</t>
  </si>
  <si>
    <t>Gas expenses</t>
  </si>
  <si>
    <t>Internet Connections ( Wifi maintenance costs)</t>
  </si>
  <si>
    <t>Passage and Transfer Expenses</t>
  </si>
  <si>
    <t>Foreign travel and Subsistence Allowance</t>
  </si>
  <si>
    <t>Accommodation</t>
  </si>
  <si>
    <t>Sundry Items (Airport tax, taxis etc)</t>
  </si>
  <si>
    <t xml:space="preserve">Publishing and printing services  </t>
  </si>
  <si>
    <t xml:space="preserve">Trade Shows and Exhibitions </t>
  </si>
  <si>
    <t>Rents and Rates - Non-Residential</t>
  </si>
  <si>
    <t>Tuition fees</t>
  </si>
  <si>
    <t>Training Expenses - Other (refresher courses on livelihood value addition initiatives)</t>
  </si>
  <si>
    <t>Plant, Equipment and Machinery Insurance</t>
  </si>
  <si>
    <t>Fuel, Oil and Lubricants</t>
  </si>
  <si>
    <t>Refined Fuels and Lubricants for Transport ( Office Operations)</t>
  </si>
  <si>
    <t>Contracted guards and cleaning services (Kwa Kilui)</t>
  </si>
  <si>
    <t xml:space="preserve"> Membership Fees, Dues &amp; Subscriptions to Professional &amp; Trade Bodies</t>
  </si>
  <si>
    <t>Maintenance of office equipments and repairs</t>
  </si>
  <si>
    <t>Launch of Recasted KIVEST (2015-2035)</t>
  </si>
  <si>
    <t xml:space="preserve"> Total General Admin</t>
  </si>
  <si>
    <t>DEPARTMENT OF TRADE AND MARKETS (DIRECTORATE OF MARKETING AND INVESTMENT)</t>
  </si>
  <si>
    <t xml:space="preserve">030300 P 2: TRADE DEVELOPMENT AND PROMOTION  </t>
  </si>
  <si>
    <t>030301 S.P 2.1:Domestic Trade Development</t>
  </si>
  <si>
    <t>Electricity (various markets)</t>
  </si>
  <si>
    <t>Water and sewerage charges (various markets and sub county offices)</t>
  </si>
  <si>
    <t>Communication, Supplies - Othe</t>
  </si>
  <si>
    <t>Capacity Building of MSMEs (bookkeeping and customers handling skills and norms)</t>
  </si>
  <si>
    <t xml:space="preserve">Refined Fuels and Lubricants for Transport </t>
  </si>
  <si>
    <t xml:space="preserve">Contracted guards and cleaning services </t>
  </si>
  <si>
    <t xml:space="preserve"> Routine Maintenance</t>
  </si>
  <si>
    <t xml:space="preserve">Maintenance expenses -Motor vehicle  </t>
  </si>
  <si>
    <t>Routine maintenance - Buildings</t>
  </si>
  <si>
    <t>Development and improvement of a policy for trade and 
markets)</t>
  </si>
  <si>
    <t>Sub Total Trade</t>
  </si>
  <si>
    <t>Construction of buildings</t>
  </si>
  <si>
    <t>Market infrastructure and livestock market development and maintenance- Fencing of Mutha and Ngomeni Livestock yards</t>
  </si>
  <si>
    <t>Purchase and establishment of livestock yard at Kamuwongo Market (ESP-supported site)</t>
  </si>
  <si>
    <t>Purchase and establishment of livestock yard at Kakongo Market (ESP-supported site)</t>
  </si>
  <si>
    <t>Repair of 15 markets, construction of 20 market toilets , fencing of ESP markets and Establishment of 5 New Markets</t>
  </si>
  <si>
    <t>Construction and civil works</t>
  </si>
  <si>
    <t>Installation of solar security lights in 14 trade centres/ markets</t>
  </si>
  <si>
    <t>Maintenance and repair of solar security lights across the 40 wards</t>
  </si>
  <si>
    <t>Purchase of Specialised Plant, Equipment and Machinery</t>
  </si>
  <si>
    <t>Establishment of 3 Juakali sheds,Acquisition of modern tools for registered groups(shavers, carpentry and Masonry tools, hair dressing machines, etc.)</t>
  </si>
  <si>
    <t>Purchase of an MSME Profilling System</t>
  </si>
  <si>
    <t>Sub Total Trade Development</t>
  </si>
  <si>
    <t>Total Trade</t>
  </si>
  <si>
    <t>030702 S.P 2.2: FAIR TRADE AND CONSUMER PROTECTION(INDUSTRY &amp; INVESTMENT)</t>
  </si>
  <si>
    <t>Support branding, marketing, and promotion of CAIP as an anchor industrial hub</t>
  </si>
  <si>
    <t>Kitui Agricultural Show, Trade and Investment Expo (KASTIE)2026</t>
  </si>
  <si>
    <t>EIZ-centric awareness and investor sensitization across all wards</t>
  </si>
  <si>
    <t>GIS mapping, monitoring and evaluation systems and EIZ investment database</t>
  </si>
  <si>
    <t>Support training and capacity building of MSMEs and cooperatives (processing, packaging, marketing, financial management)</t>
  </si>
  <si>
    <t>Business incubation and mentorship programmes</t>
  </si>
  <si>
    <t>Standards and certification support programmes for startup local manufacturers (KEBS, KIRDI)</t>
  </si>
  <si>
    <t>Boards, Committees, Conferences and Seminars -Attract and mobilize local investors</t>
  </si>
  <si>
    <t>Attract, mobilize, and capacity build local (Kitui) investors</t>
  </si>
  <si>
    <t>Participate in investment conferences, investor forums, and engagement meetings</t>
  </si>
  <si>
    <t>Support county, national, and international marketing campaigns</t>
  </si>
  <si>
    <t>Purchase of Workshop Tools, Spares and Small Equipment (Weight and Measures)</t>
  </si>
  <si>
    <t>Establishment and operationalization of Kitui County Industrial Park (planning, surveying, demacation)</t>
  </si>
  <si>
    <t>Set up of a One-Stop Investor Facilitation Centre</t>
  </si>
  <si>
    <t>Sub Total Fair Trade</t>
  </si>
  <si>
    <t>Equipping of CAIPs with processing equipment, cold storage, and warehousing facilities</t>
  </si>
  <si>
    <t>Construction of internal roads in Kitui County Industrial Park</t>
  </si>
  <si>
    <t>Land banking, titling, and zoning in all designated EIZs</t>
  </si>
  <si>
    <t>Extension of Masinga piped water and construction of underground tank</t>
  </si>
  <si>
    <t>Moving of overhead electricity line and connection to the transfomer and 730KVA back up generator</t>
  </si>
  <si>
    <t>Solid waste management systems</t>
  </si>
  <si>
    <t>Equipping of CAIP Administration block with Furniture and fittings,computer and computer accessories and security cameran system</t>
  </si>
  <si>
    <t>ICT backbone infrastructure- Connecting CAIP to Faiba and distributing the Faiba to the 4 aggregation centres and the value addition block</t>
  </si>
  <si>
    <t>Establishment of CAIP governance and management framework</t>
  </si>
  <si>
    <t>Development of legal and regulatory framework to support CAIP (develop CAIP Act, Land Management Act and Policy Guidelines)</t>
  </si>
  <si>
    <t>Feasibility studies for priotrity identified value chains(Cereals and pulses; Livestock and livestock products; minerals ;apiculture; cotton and fibre; forest and forest products)</t>
  </si>
  <si>
    <t>Sub Total Fare Trade Development</t>
  </si>
  <si>
    <t>Total Fair Trade</t>
  </si>
  <si>
    <t>Cooperatives and Citizen Group Economic Empowerment Initiatives</t>
  </si>
  <si>
    <t>030400 P.3: COOPERATIVE DEVELOPMENT AND MANAGEMENT</t>
  </si>
  <si>
    <t>030401 SP. 3.1 : GOVERNANCE AND ACCOUNTABILITY</t>
  </si>
  <si>
    <t xml:space="preserve">Development of Cooperative curriculum and implementation </t>
  </si>
  <si>
    <t>Business aggregation-Mapping of cooperatives into KCAIP operations</t>
  </si>
  <si>
    <t>Conduct cooperative societies governance training workshops( mwingi and Kitui)</t>
  </si>
  <si>
    <t xml:space="preserve">Kenya School of Government </t>
  </si>
  <si>
    <t>Conduct 100 cooperative audits across the 40 wards</t>
  </si>
  <si>
    <t>Attendance and facilitation of 120 Cooperative Societies’ General Annual Meetings and Management Committee meetings across the 40 wards</t>
  </si>
  <si>
    <t xml:space="preserve"> Conduct governance training for 200 Cooperatives across the 40 wards</t>
  </si>
  <si>
    <t>Other operating expenses</t>
  </si>
  <si>
    <t>Supervision of cooperative society elections of 120 cooperatives across the 40 wards</t>
  </si>
  <si>
    <t>Inspection of 72 cooperative societies for compliance and revival across the 40 wards</t>
  </si>
  <si>
    <t>Total Cooperative</t>
  </si>
  <si>
    <t>030403 SP. 3.2: MARKETING VALUE ADDITION AND RESEARCH (Marketing-Branding)</t>
  </si>
  <si>
    <t>Branding and marketing of county conferences in Support of Cooperatives and MSMEs across all 40 wards</t>
  </si>
  <si>
    <t>Branding of county entry and exit points( Katumba and Kona-kaliti)</t>
  </si>
  <si>
    <t>Branding of the Kitui County Aggregation Industrial Park</t>
  </si>
  <si>
    <t>Branding of  3 Kitui County Headquarter entry Points (Kaveta Roundabout Entering Kitui from Nairobi; Kwa Kalondu junction ;Entry from Museve)</t>
  </si>
  <si>
    <t>General Office Supplies (papers, pencils, forms, small office equipment</t>
  </si>
  <si>
    <t>Contracted professional services</t>
  </si>
  <si>
    <t>Conduct county branding and marketing surveys to access stakeholder perception and awareness on county projects</t>
  </si>
  <si>
    <t>Routine Maintenance - Vehicles and Other equipments</t>
  </si>
  <si>
    <t>Maintenance expenses -equipments</t>
  </si>
  <si>
    <t xml:space="preserve">Total Branding </t>
  </si>
  <si>
    <t>Total TRADE Vote 3732</t>
  </si>
  <si>
    <t xml:space="preserve">VOTE 3733: ENERGY, ENVIRONMENT,CLIMATE CHANGE, FORESTRY, NATURAL AND MINERAL RESOURCES </t>
  </si>
  <si>
    <t>ENVIRONMENT, CLIMATE CHANGE &amp; FORESTRY DEPARTMENT</t>
  </si>
  <si>
    <t>Leave Allowance</t>
  </si>
  <si>
    <t>Hire of Equipment, Plant and Machinery</t>
  </si>
  <si>
    <t xml:space="preserve">Office and General Supplies </t>
  </si>
  <si>
    <t>Total Recurrent Vote</t>
  </si>
  <si>
    <t>100200 Environmental Research and development</t>
  </si>
  <si>
    <t>100201 Environmental Research and Development</t>
  </si>
  <si>
    <t>National Celebrations (World Environment Day)</t>
  </si>
  <si>
    <t>100400 P1 Waste Management</t>
  </si>
  <si>
    <t>100401 SP. 1.1 Sustainable Waste Management</t>
  </si>
  <si>
    <t>100300 Climate Change Adaptation and Mitigation</t>
  </si>
  <si>
    <t>100301 Climate change Adaptation and Mitigation</t>
  </si>
  <si>
    <t xml:space="preserve">Basic Wages - Temporary Employees </t>
  </si>
  <si>
    <t>Casual Labour-Others</t>
  </si>
  <si>
    <t>Capital grants to government agencies and other levels of government</t>
  </si>
  <si>
    <t>County contribution of  3% of the County Development budget to attract CCRI donor funding for climate adaptation and mitigation projects</t>
  </si>
  <si>
    <t>World Bank Credit to Finance Locally - Led Climate Action Programme (FLLoCA), County Climate Resilience Investment (CCRI) Grant III</t>
  </si>
  <si>
    <t xml:space="preserve">070100 P1 Natural Resources Conservation and Management </t>
  </si>
  <si>
    <t>070102  SP. 1.1 Forest Conservation and Tree Growing</t>
  </si>
  <si>
    <t>National Celebrations (International Day of Forests)</t>
  </si>
  <si>
    <t xml:space="preserve"> Fungicides, Insecticides and Sprays</t>
  </si>
  <si>
    <t xml:space="preserve">Kenya Watershed Services Improvement Project (KEWASIP) Grant </t>
  </si>
  <si>
    <t>Purchase of Certified Seeds, Breeding Stock and Live Animals</t>
  </si>
  <si>
    <t xml:space="preserve">Purchase tree seeds and seedlings </t>
  </si>
  <si>
    <t>070100 P1 Environmental Management and Protection</t>
  </si>
  <si>
    <t>070102  SP. 1.1 Catchment Rehabilitation and Conservation</t>
  </si>
  <si>
    <t>National Celebrations (World Desertification and Drought Day)</t>
  </si>
  <si>
    <t>ENERGY, MINERALS &amp; NATURAL RESOURCES DEPARTMENT</t>
  </si>
  <si>
    <t>100500 P1  Power Transmission &amp; Distribution</t>
  </si>
  <si>
    <t>100501 SP. 1.1 Rural Electrification Programme</t>
  </si>
  <si>
    <t>Other Infrastructure and Civil Works (Rural Electrification, Power Transmission and Distribution)</t>
  </si>
  <si>
    <t>100600  Alternative Energy Technologies</t>
  </si>
  <si>
    <t>100601 SP. 1.1 Alternative Energy Technologies</t>
  </si>
  <si>
    <t>Purchase of Educational Aids and Related Equipment (Purchase of clean cook stoves to aid in training on their installation and use)</t>
  </si>
  <si>
    <t xml:space="preserve">3110500 </t>
  </si>
  <si>
    <t>Other Infrastructure and Civil Works (Installation of solar security lights in upcoming markets in Kitui County)</t>
  </si>
  <si>
    <t xml:space="preserve">3110599 </t>
  </si>
  <si>
    <t xml:space="preserve">Other Infrastructure and Civil Works (Maintenance of solar security lights in upcoming markets in Kitui County) </t>
  </si>
  <si>
    <t>Rehabilitation of Civil Works</t>
  </si>
  <si>
    <t>Other Infrastructure and Civil Works (Installation of solar powered water pumping system)</t>
  </si>
  <si>
    <t>Other Infrastructure and Civil Works (Pending bills)</t>
  </si>
  <si>
    <t>Mineral Resources Programme</t>
  </si>
  <si>
    <t>Sub programme: 100701 Community sensitization and awareness creation in minerals rich areas</t>
  </si>
  <si>
    <t>Sub programme: 100304 Training and Capacity building</t>
  </si>
  <si>
    <t xml:space="preserve">Sub programme </t>
  </si>
  <si>
    <t>100702 Mining Policy Development and Coordination (Operationalization of Kitui County River Basins Sand Utilization and Conservation Act 2024)</t>
  </si>
  <si>
    <t>Specialised Materials (Tools of work)</t>
  </si>
  <si>
    <t>Sub programme: 100801 Minerals Resources Development</t>
  </si>
  <si>
    <t xml:space="preserve"> Hire of Equipment, Plant and Machinery</t>
  </si>
  <si>
    <t xml:space="preserve">Other Current Transfers - Allocation for 20% for Mineral Royalties </t>
  </si>
  <si>
    <t>Other Infrastructure and Civil Works (PENDING BILL FOR INSTALLATION OF FABRICATED CONTAINERS FOR GEMOLOGY LABORATORY)</t>
  </si>
  <si>
    <t>Total Vote 3733</t>
  </si>
  <si>
    <t>VOTE 3734: MINISTRY OF CULTURE, GENDER, YOUTH, ICT, SPORTS &amp; SOCIAL SERVICES</t>
  </si>
  <si>
    <t>0301003710 P 1: General Administration, Planning and Support Services</t>
  </si>
  <si>
    <t>0301013710 S.P 1.1: General administration planning and support services </t>
  </si>
  <si>
    <t>Courier and Postal Services,</t>
  </si>
  <si>
    <t>Daily Subsistence allowance</t>
  </si>
  <si>
    <t>Sundry Item (e.g. Airport tax, taxis )</t>
  </si>
  <si>
    <t xml:space="preserve"> Printing , Advertising and Information Supplies and Services</t>
  </si>
  <si>
    <t xml:space="preserve"> Subscriptions to Newspapers, Magazines and Periodicals</t>
  </si>
  <si>
    <t>Trade Shows and Exhibition</t>
  </si>
  <si>
    <t xml:space="preserve"> Printing, Advertising - Other</t>
  </si>
  <si>
    <t>Training Expenses-Other(Capacity Building and training)</t>
  </si>
  <si>
    <t>Boards, Committees, Conferences,Seminars and trainings</t>
  </si>
  <si>
    <t>Routine maintenance</t>
  </si>
  <si>
    <t>Routine maintenance - Motor Veh.</t>
  </si>
  <si>
    <t>Total of 930 General Aministration and Planning Services</t>
  </si>
  <si>
    <t>Youth, Sports, ICT &amp; Innovations</t>
  </si>
  <si>
    <t>0506013710 Youth Development Services</t>
  </si>
  <si>
    <t>Publishing and Printing Services  advertizsements</t>
  </si>
  <si>
    <t>Advertising, Awareness and Publicity Campaigns - Youth sensitization on SRHR, mental health, HIV/AIDS and legal awareness</t>
  </si>
  <si>
    <t>Travel Allowance, training costs</t>
  </si>
  <si>
    <t xml:space="preserve">General Office Supplies (Stationery and small office equipment etc) </t>
  </si>
  <si>
    <t xml:space="preserve">Maintenance Expenses - Motor Vehicles </t>
  </si>
  <si>
    <t xml:space="preserve">Purchase of Photocopiers </t>
  </si>
  <si>
    <t>Research, Feasibility Studies, Project Preparation and Design, Project S</t>
  </si>
  <si>
    <t>Pre-feasibility, Feasibility and Appraisal Studies - Youth Skills Mapping and Baseline Survey</t>
  </si>
  <si>
    <t xml:space="preserve">Other Infrastructure and Civil Works - </t>
  </si>
  <si>
    <t xml:space="preserve">Total SP </t>
  </si>
  <si>
    <t xml:space="preserve"> PROGRAMME 2: ICT INFRASTRUCTURE DEVELOPMENT</t>
  </si>
  <si>
    <t>0505013710  ICT Infrastructure Connectivity</t>
  </si>
  <si>
    <t>Communication, Supplies - Other</t>
  </si>
  <si>
    <t>Totals for sub-programme-recurrent</t>
  </si>
  <si>
    <t>Refurbishment of Residential Buildings - Maintenance of ICT Data Centre</t>
  </si>
  <si>
    <t>Purchase of ICT Networking and Communication Equipment - Wifi Installation in ICT centres</t>
  </si>
  <si>
    <t>Purchase of Software - Web Hosting</t>
  </si>
  <si>
    <t>Purchase of Software - Web Redesigning and Development</t>
  </si>
  <si>
    <t>030600 P.5 Sports</t>
  </si>
  <si>
    <t>0306013710 S.P 5.1 Sport Training and Competitons</t>
  </si>
  <si>
    <t xml:space="preserve">2210504 </t>
  </si>
  <si>
    <t>Advertising, Awareness and Publicity Campaigns - County football tournaments culminating in Governor’s Cup</t>
  </si>
  <si>
    <t>Project Allowance- Participation in KYISA, KICOSCA and county tournaments</t>
  </si>
  <si>
    <t>Specialised Materials -(Procurement of sports equipment)</t>
  </si>
  <si>
    <t>Membership Fees, Dues and Subscriptions - Partnership with institutions and federations - Support to athletics camps and federation events</t>
  </si>
  <si>
    <t>Total Reccurent</t>
  </si>
  <si>
    <t>Total for S.P 5.1 Sport Training and Competitons</t>
  </si>
  <si>
    <t>0306023710 SP. 5.2 Development and Management of Sport Facilities</t>
  </si>
  <si>
    <t>Other Infrastructure and Civil Works - Development of ward playgrounds</t>
  </si>
  <si>
    <t>Other Infrastructure and Civil Works - Development of Kivou and Kyoani Stadiums</t>
  </si>
  <si>
    <t>Total for SP. 5.2 Development and Management of Sport Facilities</t>
  </si>
  <si>
    <t>Total Youth, Sports, ICT &amp; Innovations Recurrent</t>
  </si>
  <si>
    <t>Total Youth, Sports, ICT &amp; Innovations Development</t>
  </si>
  <si>
    <t>Total Youth, Sports, ICT &amp; Innovations</t>
  </si>
  <si>
    <t>Culture, Gender &amp; Social Services</t>
  </si>
  <si>
    <t>030700 P 4 Gender and socio economic empowerment</t>
  </si>
  <si>
    <t>0307023710 S.P 4.1 Gender and socio economic empowerment</t>
  </si>
  <si>
    <t>Project Allowance - Identification, training and grants for women groups</t>
  </si>
  <si>
    <t>Research Allowance - Development, validation and adoption of SGBV Policy</t>
  </si>
  <si>
    <t>Trainee Allowance - Training of paralegals and community justice champions</t>
  </si>
  <si>
    <t>Gender Mainstreaming - Transport and basic support for GBV survivors</t>
  </si>
  <si>
    <t>National Celebrations - Commemoration of international gender and social inclusion days</t>
  </si>
  <si>
    <t>Temporary Committees Expenses - Establishment of Gender Mainstreaming Committees</t>
  </si>
  <si>
    <t>Pre-feasibility, Feasibility and Appraisal Studies - Multi-stakeholder gender coordination workshops</t>
  </si>
  <si>
    <t>Other Infrastructure and Civil Works - Construction of GBV Rescue Centre and Skills Development Hall (including furnishing)</t>
  </si>
  <si>
    <t>Total for  S.P 4.1 Gender and socio economic empowerment</t>
  </si>
  <si>
    <t xml:space="preserve">030700 P. 6 Culture </t>
  </si>
  <si>
    <t>0307013710 SP. 6.1 Conservation of Heritage</t>
  </si>
  <si>
    <t>Trade Shows and Exhibitions - Participation in trade fairs, workshops and national festivals (Pending Bills)</t>
  </si>
  <si>
    <t xml:space="preserve">Field Training Attachments </t>
  </si>
  <si>
    <t>Project Allowance (Cultural festivals, exhibitions and performances; participation in KICOSCA and KMCF)</t>
  </si>
  <si>
    <t>Other Operating Expenses-(Support for Kamba dress, visual and audio talent showcases)</t>
  </si>
  <si>
    <t>Pre-feasibility, Feasibility and Appraisal Studies - Partnerships with MDAs and cultural stakeholders</t>
  </si>
  <si>
    <t>Refurbishment of Residential Buildings (Refurbishment of Resource Centres, Social Halls, Public Parks and Community Libraries)</t>
  </si>
  <si>
    <t>Renovation and Refurbishment of Mwingi Resource Centre (Pending Bill)</t>
  </si>
  <si>
    <t>Other civil works - Construction of sump well and solarisation at SEHC</t>
  </si>
  <si>
    <t>Other civil works - Chain-link fencing and refurbishment of Mwingi Community Library gate</t>
  </si>
  <si>
    <t>Purchase of Office Furniture and Fittings - Furnishing of Mutonguni Social Hall</t>
  </si>
  <si>
    <t xml:space="preserve">Total Development </t>
  </si>
  <si>
    <t>Total for  SP. 6.1 Conservation of Heritage</t>
  </si>
  <si>
    <t>030800 P.7 Social Development And Children services</t>
  </si>
  <si>
    <t>0308013710 SP. 7.1 Community mobilization and development</t>
  </si>
  <si>
    <t>Advertising, Awareness and Publicity Campaigns - Kitui County Civic Education Program</t>
  </si>
  <si>
    <t>Training Expenses - AGPO sensitization and training</t>
  </si>
  <si>
    <t>National Celebrations - Commemoration of international social days</t>
  </si>
  <si>
    <t>Other Operating Expenses  - Provision of assistive devices to PWDs</t>
  </si>
  <si>
    <t>Total SP. 7.1 Community mobilization and development</t>
  </si>
  <si>
    <t>0308023710 SP. 7.2 Child Community Support services</t>
  </si>
  <si>
    <t>Donations - Support of Community Children Charitable Institution’s with food and other utilities</t>
  </si>
  <si>
    <t>Total for  SP. 7.2 Child Community Support services</t>
  </si>
  <si>
    <t>Total Culture, Gender &amp; Social Services Recurrent</t>
  </si>
  <si>
    <t>Total Culture, Gender &amp; Social Services Development</t>
  </si>
  <si>
    <t>Total Culture, Gender &amp; Social Services</t>
  </si>
  <si>
    <t>Total Vote 3734</t>
  </si>
  <si>
    <t>VOTE 3735: MINISTRY OF FINANCE, ECONOMIC PLANNING AND REVENUE MANAGEMENT</t>
  </si>
  <si>
    <t>070100 P1: General Administration Planning and Support Services</t>
  </si>
  <si>
    <t>070101 S.P.1.1 General Administration and Support Services</t>
  </si>
  <si>
    <t>Employer Contributions to Compulsory National Social Security Schemes</t>
  </si>
  <si>
    <t>Employer Contribution to Staff Pensions Scheme - Implementation of superanuation scheme for the devolved county staff</t>
  </si>
  <si>
    <t>Internet Connections (Wifi maintenance costs)</t>
  </si>
  <si>
    <t xml:space="preserve">Accommodation - Domestic Travel </t>
  </si>
  <si>
    <t>Boards, Committees, Conferences and Seminars (Finalization of various policy documents (Risk Management Policy, disaster recovery plan)</t>
  </si>
  <si>
    <t xml:space="preserve">Other Operating Expenses </t>
  </si>
  <si>
    <t>Bank Service Commission and Charges</t>
  </si>
  <si>
    <t>Domestic Loans to Individuals and Households</t>
  </si>
  <si>
    <r>
      <rPr>
        <sz val="12"/>
        <color rgb="FF000000"/>
        <rFont val="Tahoma"/>
        <family val="2"/>
      </rPr>
      <t>Housing loans to public servants -</t>
    </r>
    <r>
      <rPr>
        <b/>
        <sz val="12"/>
        <color rgb="FF000000"/>
        <rFont val="Tahoma"/>
        <family val="2"/>
      </rPr>
      <t xml:space="preserve"> Car and Mortgage Facility for County Executive Staff</t>
    </r>
  </si>
  <si>
    <t>Emergency Fund</t>
  </si>
  <si>
    <t>0712003710 P4. Public Financial Management</t>
  </si>
  <si>
    <t>0712013710 SP4. 1 Resource Mobilisation (Revenue Department)</t>
  </si>
  <si>
    <t>Casual wages</t>
  </si>
  <si>
    <t xml:space="preserve">Casual labour - others </t>
  </si>
  <si>
    <t>Daily Subsistance Allowance (Formulation of Finance Bill)</t>
  </si>
  <si>
    <t>Sundry Items (e.g. airport tax, taxis, etc)</t>
  </si>
  <si>
    <t>Field Allowance (Revenue inspection and control)</t>
  </si>
  <si>
    <t>Publishing &amp; Printing Services (Formulation of Finance Bill)</t>
  </si>
  <si>
    <t>Advertising, Awareness and Publicity Campaigns  (Formulation  of Finance Bill)</t>
  </si>
  <si>
    <t>Other Operating Expenses - oth (Revenue Enhancement system)</t>
  </si>
  <si>
    <t>0712033710 SP4.3 Audit Services</t>
  </si>
  <si>
    <t xml:space="preserve">                                   -   </t>
  </si>
  <si>
    <t>Sundry Items (e.g. airport tax, taxis, etc?)</t>
  </si>
  <si>
    <t>Publishing and Printing</t>
  </si>
  <si>
    <t>Boards, Committees, Conferences and Seminars (Audit Committee)</t>
  </si>
  <si>
    <t xml:space="preserve"> Maintenance of Office Furniture and Equipment</t>
  </si>
  <si>
    <t>071205 SP4.5 Financial Services</t>
  </si>
  <si>
    <t>2210710</t>
  </si>
  <si>
    <t>2210711</t>
  </si>
  <si>
    <t>Refined Fuels and Lubricants -- Other</t>
  </si>
  <si>
    <t>Temporary Committees Expenses</t>
  </si>
  <si>
    <t>Other Operating Expenses - Others</t>
  </si>
  <si>
    <t>Sub totals - Recurrent</t>
  </si>
  <si>
    <t>0704003710 Department of Supply Chain Management Services</t>
  </si>
  <si>
    <t>0704013710 SP 4.1 Procurement of Goods and Management of Services</t>
  </si>
  <si>
    <t xml:space="preserve">Total Finance, Revenue Management and Accounting </t>
  </si>
  <si>
    <t>Economic Planning &amp; Budgeting</t>
  </si>
  <si>
    <t xml:space="preserve"> 0710003710 P2: Economic Policy and Planning</t>
  </si>
  <si>
    <t xml:space="preserve"> 0710013710 S.P.1.1 Economic Planning Coordination services                  -   </t>
  </si>
  <si>
    <t xml:space="preserve"> Temporary Committees Expenses </t>
  </si>
  <si>
    <t>Purchase of other Office Equipment (Laptops)</t>
  </si>
  <si>
    <t>Pre-feasibility, Feasibility and Appraisal Studies-(County Statistical Abstract)</t>
  </si>
  <si>
    <t>Kenya Devolution Support Programme ( KDSP) -Level 1 - Grant</t>
  </si>
  <si>
    <t>Kenya Devolution Support Programme ( KDSP) -Level 2 - Grant</t>
  </si>
  <si>
    <t>Kenya Devolution Support Programme ( KDSP)  -  Matching Fund</t>
  </si>
  <si>
    <t>0712023710 SP4.2 Budget Formulation Coordination and Management</t>
  </si>
  <si>
    <t>Advertising, Awareness and Publicity Campaigns - Public Participation</t>
  </si>
  <si>
    <t>Boards, Committees, Conferences and Seminars (CBEF facilitation)</t>
  </si>
  <si>
    <t>Totals SP</t>
  </si>
  <si>
    <t>0710023710 SP4.3 Monitoring and Evaluation</t>
  </si>
  <si>
    <t>Daily Subsistance Allowance</t>
  </si>
  <si>
    <t xml:space="preserve"> Temporary Committees Expenses (Review of development plans and generation of indicators)</t>
  </si>
  <si>
    <t>Total Economic Planning &amp; Budgeting</t>
  </si>
  <si>
    <t>Total Vote 3735</t>
  </si>
  <si>
    <t xml:space="preserve">VOTE 3736: MINISTRY OF AGRICULTURE AND LIVESTOCK </t>
  </si>
  <si>
    <t>Printing, Advertising and Information Supplies and Services</t>
  </si>
  <si>
    <t>Maintenance Expenses - Mechinery</t>
  </si>
  <si>
    <t>Maintainance of  buldings - Non residential</t>
  </si>
  <si>
    <t xml:space="preserve">0102003710 P2: Crops Development and management </t>
  </si>
  <si>
    <t>0102013710 SP 2.1  Farm Input Support (Crops development support)</t>
  </si>
  <si>
    <t xml:space="preserve">Research, Feasibility Studies </t>
  </si>
  <si>
    <t>Research, Feasibility Studies (Farmer Extension supervision  )</t>
  </si>
  <si>
    <t>Specialized materails and supplies</t>
  </si>
  <si>
    <t xml:space="preserve"> Agricultural Materials, Supplies and Small Equipment (Procurement of cone gardens,seeds, pesticides &amp;Capacity building) </t>
  </si>
  <si>
    <t>Returns of equity holdings in international organizations</t>
  </si>
  <si>
    <t>World Bank funded (NAVCD Project)</t>
  </si>
  <si>
    <t>World Bank funded (NAVCD Project)-Counter part fund</t>
  </si>
  <si>
    <t xml:space="preserve">Sub Total </t>
  </si>
  <si>
    <t>Total sub programme</t>
  </si>
  <si>
    <t xml:space="preserve">0103003710 P3: Agribusiness and Information Management </t>
  </si>
  <si>
    <t xml:space="preserve"> 0103013710 SP 3.1 Agribusiness and Market Development</t>
  </si>
  <si>
    <t>Casual Labour - Tractor Operators</t>
  </si>
  <si>
    <t>Field allowance</t>
  </si>
  <si>
    <t>Refined Fuels and Lubricants for Production-Tractor Ploughing &amp; Dam Construction</t>
  </si>
  <si>
    <t xml:space="preserve"> Other Operating Expenses</t>
  </si>
  <si>
    <t xml:space="preserve">Maintenanance of heavy Plant machinery &amp; Equipment </t>
  </si>
  <si>
    <t>Construction and other Civil works</t>
  </si>
  <si>
    <t>Other Infrastructure and Civil Works (tractor  - Repairs)</t>
  </si>
  <si>
    <t>Purchase of Agricultural Machinery and Equipment (4 Tractor drawn rippers)</t>
  </si>
  <si>
    <t xml:space="preserve"> 0103023710  SP 3.2 Agricultural Information Management (Extension and Advisory Services Programme)</t>
  </si>
  <si>
    <t>Casual Labour - ATC, Showground &amp; Mwingi Office</t>
  </si>
  <si>
    <t>DSTV Services - (ATC)</t>
  </si>
  <si>
    <t xml:space="preserve">Printing, Advertising </t>
  </si>
  <si>
    <t xml:space="preserve"> Rentals of Produced Assets</t>
  </si>
  <si>
    <t>Hire of Transport</t>
  </si>
  <si>
    <t>Travel allowance (farmer demonstrations and field days)</t>
  </si>
  <si>
    <t xml:space="preserve">Catering Services receptions </t>
  </si>
  <si>
    <t>Chemicals and Industrial Gases</t>
  </si>
  <si>
    <t>Supplies for production (ATC)</t>
  </si>
  <si>
    <t>Contracted Guards and Cleaning Services (Mwingi &amp; ATC)</t>
  </si>
  <si>
    <t>Other Current Transfers, Grants and Sudsidies</t>
  </si>
  <si>
    <t>Other Current Transfers - Other (ATC)</t>
  </si>
  <si>
    <t>Refurbishment of Non-Residential Buildings(ATC-Dairy cattle shed)</t>
  </si>
  <si>
    <t xml:space="preserve"> Purchase of Computers, Printers and other IT Equipment </t>
  </si>
  <si>
    <t>Research, Feasibility Studies (Extension and Advisory services programme)</t>
  </si>
  <si>
    <t>Recurrent sub total</t>
  </si>
  <si>
    <t xml:space="preserve">Specialised materials &amp; Supplies (Building capacity of ATC) </t>
  </si>
  <si>
    <t>Procurement of seeds and packaging materials (9,000 fruit trees &amp; 3,000 tissue culture bananas</t>
  </si>
  <si>
    <t>Procurement of chaff cutter</t>
  </si>
  <si>
    <t>Other Infrastructure and Civil Works (Drilling &amp; Solarization of borehole )</t>
  </si>
  <si>
    <t>Construction of Hay barn</t>
  </si>
  <si>
    <t xml:space="preserve">Construction of Sub county Agricultural Office- Kitui South (Phase 1)
</t>
  </si>
  <si>
    <t>Purchaase of certified seeds, breeding stock and live animals</t>
  </si>
  <si>
    <t>Purchase of certified pasture seeds (for ATC)</t>
  </si>
  <si>
    <t>Procurement of  dairy animals (ATC-8 Cattle &amp; 5 goats )</t>
  </si>
  <si>
    <t>Support Agricultural Extension and Advisory services program ( Farmer field days, Demonstrations,group visits, residential and non- residential trainings, soil conservation, individual farm visit)</t>
  </si>
  <si>
    <t>0105003710 P5: Fisheries Development and Management</t>
  </si>
  <si>
    <t>0105013710 SP 5: 1 Aquaculture Development</t>
  </si>
  <si>
    <t>303 Recurrent  Fisheries</t>
  </si>
  <si>
    <t>Payment of Electricity</t>
  </si>
  <si>
    <t>Water and sewerage</t>
  </si>
  <si>
    <t>Telephone, Facsimile &amp; Mobile</t>
  </si>
  <si>
    <t>Travel Accomodation</t>
  </si>
  <si>
    <t>Printing training materials</t>
  </si>
  <si>
    <t xml:space="preserve">Travel allowances </t>
  </si>
  <si>
    <t>Hall Hire</t>
  </si>
  <si>
    <t>Agricultural materials and small equipments</t>
  </si>
  <si>
    <t>General office supplies</t>
  </si>
  <si>
    <t>Supplies and accessories for computers and printers</t>
  </si>
  <si>
    <t>Maintenance of Office Furniture and Equipments</t>
  </si>
  <si>
    <t>Maintenance of building and station - non residential</t>
  </si>
  <si>
    <t>Maintenance of computers</t>
  </si>
  <si>
    <t>Recurrent Sub total</t>
  </si>
  <si>
    <t>Aquaculture Development (Construction of Climate smart Fish ponds)</t>
  </si>
  <si>
    <t>Dam stocking</t>
  </si>
  <si>
    <t>Installation fish cages (in Kiambere Dam)</t>
  </si>
  <si>
    <t>Total Recurrent agriculture and fisheries</t>
  </si>
  <si>
    <t>Total Development agriculture and fisheries</t>
  </si>
  <si>
    <t>Total Agriculture and Fisheries</t>
  </si>
  <si>
    <t>0106013710 Livestock and Apiculture</t>
  </si>
  <si>
    <t>Civil Service</t>
  </si>
  <si>
    <t xml:space="preserve">Catering Services </t>
  </si>
  <si>
    <t xml:space="preserve">0106003710  P 6: Livestock Resources Management and Development </t>
  </si>
  <si>
    <t>0106013710 SP 6.1  Livestock Production and Management</t>
  </si>
  <si>
    <t>306 Recurrent Livestock Development</t>
  </si>
  <si>
    <t xml:space="preserve">Internet Connections </t>
  </si>
  <si>
    <t>Supplies of production</t>
  </si>
  <si>
    <t>Logistical support during AI, beehives, capacity building of farmers during pasture seed distribution and establishment)</t>
  </si>
  <si>
    <t>Agricultural Materials, Supplies and Small Equipment (Bee Hives - To Procure and distribute)</t>
  </si>
  <si>
    <t xml:space="preserve">Purchase of pasture seeds to establish 3,000 acres </t>
  </si>
  <si>
    <t xml:space="preserve">Goat breeds improvement (Procure and distribute 120 galla bucks) </t>
  </si>
  <si>
    <t xml:space="preserve">Poultry breed improvement(Procure and distribute 500 improved cocks) </t>
  </si>
  <si>
    <t xml:space="preserve">Dairy cattle  breeds improvement (2,000 doses of semen  2,000 liters of liquid nitrogen) </t>
  </si>
  <si>
    <t>Promotion of rabbit production (procure and distribute 500 rabbits)</t>
  </si>
  <si>
    <t>Support Livestock Extension and Advisory services program ( Farmer field days, Demonstrations,group visits, residential and non- residential trainings, , individual farm visit)</t>
  </si>
  <si>
    <t>Total Sub programme</t>
  </si>
  <si>
    <t>0106023710 SP 6.2 Livestock Diseases Management and Control</t>
  </si>
  <si>
    <t>Supplies for production-Vaccination suplies</t>
  </si>
  <si>
    <t>Pre-feasibility, Feasibility and Appraisal Studies (logistical support during vaccinations and vaccination services)</t>
  </si>
  <si>
    <t>Purchase of Vaccines with Vaccination Services</t>
  </si>
  <si>
    <t>Construction  and equiping a laboratory</t>
  </si>
  <si>
    <t>Total recurrent Livestock</t>
  </si>
  <si>
    <t>Total Development Livestock</t>
  </si>
  <si>
    <t>Total Livestock</t>
  </si>
  <si>
    <t>Total Vote 3736</t>
  </si>
  <si>
    <t>VOTE 3737: MINISTRY OF LANDS, HOUSING &amp; URBAN DEVELOPMENT</t>
  </si>
  <si>
    <t>Trade Shows and Exhibitions (Kitui County Agricultural Show and International Trade Expo - fliers, banners, brochures, branded merchandise; exhibition booth setup and decoration;)</t>
  </si>
  <si>
    <t>Catering Services (receptions), Accommodation, Gifts, Food and Drinks &amp;  - Outstanding Commitments for Budgeted Works/ Services Done</t>
  </si>
  <si>
    <t xml:space="preserve">General Office Supplies (Furnitures and other office fittings etc) </t>
  </si>
  <si>
    <t xml:space="preserve">General Office Supplies (stationery - papers, pencils, forms, small office equipment etc) </t>
  </si>
  <si>
    <t>Supplies and Accessories for Computers,Printers,Cameras and other devices</t>
  </si>
  <si>
    <t>Maintenance of Buildings and Stations -- Non-Residential (painting of offices, repair ceilings, fixing leaking roofs, repairing and upgrading toilets and washrooms, plumbing works, electrical repairs,  repair of doors, windows, locks and office partitions etc.)</t>
  </si>
  <si>
    <t>Total R</t>
  </si>
  <si>
    <t xml:space="preserve">General Administration &amp; Planning </t>
  </si>
  <si>
    <t>Lands &amp; Housing</t>
  </si>
  <si>
    <t>0107003710: Housing Development and Human Settlement</t>
  </si>
  <si>
    <t>0107013710: Housing Development</t>
  </si>
  <si>
    <t>Maintenance of Buildings -- Residential</t>
  </si>
  <si>
    <t>Total for Department of Housing</t>
  </si>
  <si>
    <t>0108003710: Land Policy and Planning</t>
  </si>
  <si>
    <t>0108023710: 2.2 :Land Survey</t>
  </si>
  <si>
    <t>508 Department of Survey &amp; Mapping</t>
  </si>
  <si>
    <t>Tribunals Costs</t>
  </si>
  <si>
    <t>Registration of Land</t>
  </si>
  <si>
    <t>Total for Department of Survey and Mapping</t>
  </si>
  <si>
    <t>Acquisition of Land</t>
  </si>
  <si>
    <t>Land clinics and policy - Public Sensitization in liaison with the county assembly-educate the public on the role of the ministry of lands in land management in the county.</t>
  </si>
  <si>
    <t xml:space="preserve">Land disputes resolution </t>
  </si>
  <si>
    <t>Total Development:</t>
  </si>
  <si>
    <t>Department of Survey and Mapping( Development)</t>
  </si>
  <si>
    <t>0108023710 Department of  Land Registry, Adjudication &amp; Settlement</t>
  </si>
  <si>
    <t xml:space="preserve">General Office Supplies (Furnitures and other office fittings) </t>
  </si>
  <si>
    <t>Maintenance of GIS laboratory</t>
  </si>
  <si>
    <t>Purchase of GIS Software</t>
  </si>
  <si>
    <t>Implementation of  Land information Management</t>
  </si>
  <si>
    <t>Total of Department of Land Adjudication</t>
  </si>
  <si>
    <t>Department of Land Registry &amp; Adjudication &amp; Settlement</t>
  </si>
  <si>
    <t>Support for land titling and adjudication</t>
  </si>
  <si>
    <t>Prefeasibility, Research, Project Preparation and Design</t>
  </si>
  <si>
    <t>Preliminary training and capacity building of staff</t>
  </si>
  <si>
    <t>Fencing of Tharaka Land (30 Acres)</t>
  </si>
  <si>
    <t>Plot verification, plot valuation and plot mapping</t>
  </si>
  <si>
    <t>Total for Department of Land Adjudication &amp; Settlement Development</t>
  </si>
  <si>
    <t>0108013710 2.1:  Land Information and management</t>
  </si>
  <si>
    <t>507 Department of Physical Planning</t>
  </si>
  <si>
    <t>Development Control Expenses</t>
  </si>
  <si>
    <t>Total for Department of Physical Planning</t>
  </si>
  <si>
    <t>Department of Physical Planning</t>
  </si>
  <si>
    <t xml:space="preserve"> Geographical layout across entire county, Project Preparation and Design, Project Supervision geographical layout across entire county</t>
  </si>
  <si>
    <t>Preparation of Draft Supplementary Valuation roll 2025/2026</t>
  </si>
  <si>
    <t>Geo refferenced market layouts in each of 8 subcounties</t>
  </si>
  <si>
    <t>Preparation of Local physical  land use development plans</t>
  </si>
  <si>
    <t xml:space="preserve">Formulation and implementation of land policies. </t>
  </si>
  <si>
    <t>County Spatial Plan ( Seed Money)</t>
  </si>
  <si>
    <t>Total for Department of Physical Planning Development</t>
  </si>
  <si>
    <t>Total Lands and Housing Development</t>
  </si>
  <si>
    <t>Department of  Urban Development</t>
  </si>
  <si>
    <t>0107003710: Urban Development and Human Settlement</t>
  </si>
  <si>
    <t>Total for Department of Urban Development</t>
  </si>
  <si>
    <t xml:space="preserve">2211300 </t>
  </si>
  <si>
    <t>2211301</t>
  </si>
  <si>
    <t>Beautification along the urban roads and urban open spaces in the 6 Urban areas</t>
  </si>
  <si>
    <t>Elevate Urban areas to Market Centers, Towns and Municipalities</t>
  </si>
  <si>
    <t xml:space="preserve"> Construction of Public toilets in 4 upcoming urban areas</t>
  </si>
  <si>
    <t>Installation solid waste management centers (Skip bins,assorted dust bins)</t>
  </si>
  <si>
    <t>Adressing system (Installation of road signages)</t>
  </si>
  <si>
    <t>Installation of new integrated solar energy street/security lights in upcoming urban areas</t>
  </si>
  <si>
    <t>Repair and maintainance of street/security lights</t>
  </si>
  <si>
    <t>Dustless Towns - Tseikuru Dustless Town (Including grading,gravelling with watering and compaction)</t>
  </si>
  <si>
    <t>Construction of solid waste disposal sites</t>
  </si>
  <si>
    <t xml:space="preserve">Street parking and outdoor advertising policy formulation </t>
  </si>
  <si>
    <t xml:space="preserve">Construction of Storm water drainage channels in the upcoming Urban areas. </t>
  </si>
  <si>
    <t>Total Development Urban Development</t>
  </si>
  <si>
    <t>Total Vote 3737</t>
  </si>
  <si>
    <t>VOTE 3724: KITUI MUNICIPALITY</t>
  </si>
  <si>
    <t>001</t>
  </si>
  <si>
    <t>General Administration And Planning</t>
  </si>
  <si>
    <t>General Administration And Planning- Headquarters</t>
  </si>
  <si>
    <t>Casuals Labour-casuals  working in Township ward,Kwa Vonza shopping centre,Nzambani ward(Chuluni&amp;mwembe Tayari),Kyangwitya west ward(Kyamathyaka,Nduumoni,Itoleka,Ithiani&amp;Mulutu),Kyangithya East ward(Kwa Ngindu,Mutune&amp;Museve),Matinyani ward(Matinyani Market),Mulango ward(Katulani&amp;wikililye)</t>
  </si>
  <si>
    <t>Water and Sewarage Charges.</t>
  </si>
  <si>
    <t>Training Expenses - Other (Training &amp; Capacity Building)</t>
  </si>
  <si>
    <t xml:space="preserve">Catering Services (receptions) </t>
  </si>
  <si>
    <t>Board Committees, Conferences and Seminars allowances for municipality board members</t>
  </si>
  <si>
    <t>General Office Supplies (papers, pencils, )</t>
  </si>
  <si>
    <t>Office and General Supplies-Office furniture and equipment</t>
  </si>
  <si>
    <t xml:space="preserve">Refined Fuels and Lubricants for Transport( Two Double cabs, Six waste management Vehicles &amp; one Fire Engine,  two Firefighting Motorbikes and five motorbikes for revenue collection </t>
  </si>
  <si>
    <t>Maintenance of office Computers and printers,Software, and Networks</t>
  </si>
  <si>
    <t>Maintenance of Communications Equipment-  (Municipality website yearly  renewal)</t>
  </si>
  <si>
    <t>Routine Maintenance of office generator and cleansing tools and equipment(Repair of rakes, wheelbarrow and skipbins)</t>
  </si>
  <si>
    <t>Review of Kitui Municipality Integrated Development Plan (IDeP) 2026–2030</t>
  </si>
  <si>
    <t>Total S.P</t>
  </si>
  <si>
    <t>Finance and Revenue Assurance</t>
  </si>
  <si>
    <t>Water and Sewarage Charges</t>
  </si>
  <si>
    <t xml:space="preserve">Daily Subsistance Allowance ( (Revenue collectors during market days and public  holidays)on Monday and Thursday every week </t>
  </si>
  <si>
    <t>Training Expenses - Other (Training &amp; Capacity Building,Public Participation fora )</t>
  </si>
  <si>
    <t>Catering Services (receptions)</t>
  </si>
  <si>
    <t>Sanitary and Cleaning Materials, Supplies and Services-For offices</t>
  </si>
  <si>
    <t>Maintenance Expenses  - Vehicles (Repair and service for vehicles registration numbers:GK 062L,15CG025A, KCA277F, KBY779C)</t>
  </si>
  <si>
    <t>Research, Feasibility Studies, Project Preparation and Design, Planning documents</t>
  </si>
  <si>
    <t>Preparation of Kitui Municipality Planning Documents: Annual Development plan, County Fiscal Strategy paper and Budget, Monitoring and evaluation</t>
  </si>
  <si>
    <t xml:space="preserve"> Construction of Roads</t>
  </si>
  <si>
    <t>Improvement of Kitui Town Parking Spaces</t>
  </si>
  <si>
    <t xml:space="preserve"> Construction and Civil Works</t>
  </si>
  <si>
    <t>Cabro Parking  opposite Lake Oil petrol station to Kalundu River</t>
  </si>
  <si>
    <t>Cabro Parking  from 120 Hardware to C-House</t>
  </si>
  <si>
    <t>Annual GIS Business Mapping &amp; Business Register Update</t>
  </si>
  <si>
    <t>Planning, Development Control, Transport and Infrastructure</t>
  </si>
  <si>
    <t>Planning, Development Control, Transport and Infrastructure - Headquarters</t>
  </si>
  <si>
    <t xml:space="preserve"> Field Operational Allowance (Fire and Emergence Disaster response)</t>
  </si>
  <si>
    <t>Training Expenses - Other (Training, Capacity Building &amp; fire drill exercises)</t>
  </si>
  <si>
    <t xml:space="preserve">Refined Fuels and Lubricants for Transport( Two Double cabs, Six waste management Vehicles </t>
  </si>
  <si>
    <t xml:space="preserve"> Maintenance of Plant, Machinery and Equipment  -Fire Engine&amp;Fire fighting Motor bikes</t>
  </si>
  <si>
    <t>Culvert and Drainage Works – Site Estate</t>
  </si>
  <si>
    <t>Installation, Repair  &amp; Maintanance  of Street/Security lights within Kitui Municipality, Township  Ward, Kyangwitha east and West ward, Mulango ward, Chuluni Ward, Nzambani ward, Matinyani ward and Kwa Mutunga Ward</t>
  </si>
  <si>
    <t>Cabro Walkway  from Lake Oil to KICOTEC Exhibition House opposite Univision Sacco</t>
  </si>
  <si>
    <t>Major Roads-Road Repair and Maintenance – Kitui Town</t>
  </si>
  <si>
    <t>Re-carpeting of Kalundu Market Access Road</t>
  </si>
  <si>
    <t xml:space="preserve"> Overhaul and Refurbishment of Construction and Civil Works</t>
  </si>
  <si>
    <t>Drainage Works within Kitui CBD</t>
  </si>
  <si>
    <t>Municipality Land Subdivision Policy</t>
  </si>
  <si>
    <t>Trade,Commerce and Industrialisation</t>
  </si>
  <si>
    <t xml:space="preserve">Daily Subsistance Allowance </t>
  </si>
  <si>
    <t>Training Expenses - Other (Training &amp; Capacity Building for staff and Training for MSMEs  )</t>
  </si>
  <si>
    <r>
      <rPr>
        <sz val="12"/>
        <color rgb="FF000000"/>
        <rFont val="Tahoma"/>
        <family val="2"/>
      </rPr>
      <t>Refined Fuels and Lubricants for Transport( Two Double cabs, Six waste management Vehicles &amp; one Fire Engine,  two Firefighting Motorbikes and five motorbikes for revenue collection -</t>
    </r>
    <r>
      <rPr>
        <sz val="12"/>
        <color rgb="FFFF0000"/>
        <rFont val="Tahoma"/>
        <family val="2"/>
      </rPr>
      <t>PENDING BILL</t>
    </r>
  </si>
  <si>
    <t>Construction of Modern Kiosks within Municipality</t>
  </si>
  <si>
    <t xml:space="preserve">Perimeter Wall and Gate Inatallation around Kitui Municipality cemetery </t>
  </si>
  <si>
    <t>Purchase of 16,000-Litre Water Bowser</t>
  </si>
  <si>
    <t>Stall Allocation Policy for Markets &amp; Bus Parks</t>
  </si>
  <si>
    <t>Solarization of Slaughterhouse Borehole</t>
  </si>
  <si>
    <t>Enviroment,Culture, Recreation and Community Development</t>
  </si>
  <si>
    <t>Enviroment,Culture, Recreation and Community Development - Headquarters</t>
  </si>
  <si>
    <t xml:space="preserve">Daily Subsistance Allowance (cleansing staff during weekends&amp;public holidays) </t>
  </si>
  <si>
    <t>Training Expenses - Other (Training &amp; Capacity Building&amp; awareness  forums on environmental management)</t>
  </si>
  <si>
    <t>Sanitary and Cleaning Materials, Supplies and Services-</t>
  </si>
  <si>
    <t>Routine Maintenance -Vehicles</t>
  </si>
  <si>
    <t>Purchase of One Custom-Made Dump Truck (10m³ Capacity)</t>
  </si>
  <si>
    <t>Purchase of Assorted Cleaning Tools &amp; Equipment</t>
  </si>
  <si>
    <t>Purchase of Safety Gear for cleansing section,Revenue section -Purchase of PPEs for Cleaners</t>
  </si>
  <si>
    <t>Kenya Urban Support Programme II (KUSP II) Urban Development Grant  (UDG )Infrastructure</t>
  </si>
  <si>
    <t>Total Vote 3724</t>
  </si>
  <si>
    <t>VOTE 3725: MWINGI MUNICIPALITY FY 2026/2027</t>
  </si>
  <si>
    <t>0201003710 P1 General Administration Planning and Support Services</t>
  </si>
  <si>
    <t>0201013710 SP.1.1 Administration, Planning &amp; Support Services</t>
  </si>
  <si>
    <t>Basic Salaries - Permanent - Others</t>
  </si>
  <si>
    <t>Casual Labour - Others (Market Cleaners )</t>
  </si>
  <si>
    <t xml:space="preserve"> Personal Allowance - Paid as Part of Salary</t>
  </si>
  <si>
    <t>House Allowance</t>
  </si>
  <si>
    <t>Transport Allowance</t>
  </si>
  <si>
    <t>Employer Contributions to National Social Security Fund</t>
  </si>
  <si>
    <t>Employer Contribution to Staff Pensions Scheme</t>
  </si>
  <si>
    <t>Subotal Mwingi Town Personnel Emoluments</t>
  </si>
  <si>
    <t xml:space="preserve">Tel., Telex, Facsimile &amp; Mob. Phone Services </t>
  </si>
  <si>
    <t>Domestic Travel &amp; Subsistence &amp; Other Transportation Costs</t>
  </si>
  <si>
    <t>Trade Shows and Exhib. (Kitui Agric. show)</t>
  </si>
  <si>
    <t xml:space="preserve">Accommodation Allowance </t>
  </si>
  <si>
    <t xml:space="preserve">Catering Services (receptions), Accommodation, Gifts, Food &amp; Drinks </t>
  </si>
  <si>
    <t>Boards, Committees, Conferences and Seminars allowances for municipality board members</t>
  </si>
  <si>
    <t xml:space="preserve"> Purchase W/shop Tools, Spares &amp; Equip, (S/hse tools &amp;equipment)</t>
  </si>
  <si>
    <t>Purchase of Uniforms and Clothing - Staff &amp; cleansing sec.</t>
  </si>
  <si>
    <t xml:space="preserve">General Office Supplies (papers, pencils, forms, small off. Equip't etc) </t>
  </si>
  <si>
    <t>Legal Dues/ Fees,Arbitration and Compensation Payments</t>
  </si>
  <si>
    <t>Sub-total Mwingi Town Use of Goods/Services</t>
  </si>
  <si>
    <t>Cabro paving works along nzeluni road</t>
  </si>
  <si>
    <t>0109003710 P2 Government Buildings</t>
  </si>
  <si>
    <t>0109013710 SP.2.1 Stalled and new Government Buildings.</t>
  </si>
  <si>
    <t>Accommodation Allowance ( ISWM)</t>
  </si>
  <si>
    <t>Trainee Allowance (Comm. awareness on pri. Solid Waste Storage</t>
  </si>
  <si>
    <t>Subtotal Mwingi Town Use of Goods/Services</t>
  </si>
  <si>
    <t>Construction of Civil Works</t>
  </si>
  <si>
    <t>Other infrastructure and civil works (5th Phase of Rehabilitation of street lights)</t>
  </si>
  <si>
    <t>Other infrastructure and civil works (Construction of perimeter wall at slaughter house-phase 2)</t>
  </si>
  <si>
    <t>Refurbishment of Non-Residential Buildings (General repairs and maintenance of municipality offices and other non-residential buildings)</t>
  </si>
  <si>
    <t>0207003710 P3 Urban and Metropolitan Development</t>
  </si>
  <si>
    <t>02</t>
  </si>
  <si>
    <t>0207013710 SP.3.1 Urban Mobility and Transport</t>
  </si>
  <si>
    <t>Prod./Print of Training Materials (Staff Cap. bldg)</t>
  </si>
  <si>
    <t>Accommodation Allowance for training</t>
  </si>
  <si>
    <t>Trainee Allowance (Community awareness on development control)</t>
  </si>
  <si>
    <t>Catering Services (receptions), Accommodation, Gifts, Food &amp; Drinks (Hotel Catering Services</t>
  </si>
  <si>
    <t>Annual IDeP review as per UACA requirements</t>
  </si>
  <si>
    <t>Subotal Mwingi Town Use of Goods/Services</t>
  </si>
  <si>
    <t>Construct. Bldgs - Other (Construction of open air market ablution block)</t>
  </si>
  <si>
    <t>Other infrastructure and civil works (Installation/repairs of  solar ‘Mulika Mwizi’ at Kyomo/Kyethani, Waita, Kyome/Thana and Migwani wards)</t>
  </si>
  <si>
    <t>Other infrastructure and civil works (Construction of Slab between Mt. Sinai and Kathonzweni Secondary School gate)</t>
  </si>
  <si>
    <t>03</t>
  </si>
  <si>
    <t>0207023710 SP.3.2 Safety and Emergency</t>
  </si>
  <si>
    <t>Accommodation Allowance (B/marking on ISWM)</t>
  </si>
  <si>
    <t>Trainee Allowance (Community awareness on disaster Management)</t>
  </si>
  <si>
    <t>Other Infrast./Civil Works  (Conversion of Kyuso road street lights from electricity (grid-powered) to solar-powered system)</t>
  </si>
  <si>
    <t>0207033710 SP.3.3 Urban Markets Development</t>
  </si>
  <si>
    <t>Other Infrast./Civil Works  (Construction of open storm water  drains along Kwa Mbuvi to Kwa Mukeni drift)</t>
  </si>
  <si>
    <t>100100P.4 General Administration, Planning and Support Services</t>
  </si>
  <si>
    <t>100101 SP.4.1 Environmental Policy Management</t>
  </si>
  <si>
    <t>Purch. tools &amp; equip. (Purch./repair cleansing &amp; san. tools &amp; supplies)</t>
  </si>
  <si>
    <t>Other Infrast./Civil Works  (Construction of open storm water  drains along Paradise Grill-Baptist Church road)</t>
  </si>
  <si>
    <t>Other Infrast./Civil Works  (Grading (5km); Gravelling and Murraming (5km) of town roads)</t>
  </si>
  <si>
    <t>0706003710 P5: Devolution Services</t>
  </si>
  <si>
    <t>0706013710 SP.5.1 Capacity Building</t>
  </si>
  <si>
    <t>Other Infrast./Civil Works  (Installation of one highmast floodlight ‘Mulika Mwizi’ at Ivia Giu, near stock yard)</t>
  </si>
  <si>
    <t>Capital Grants to Government Agencies and other Levels of Government</t>
  </si>
  <si>
    <t>Kenya Urban Support Project ( UDG) - World Bank (Upgrading  to bitumen standard of Kiberiti-Lutune-Musila gardens Junction road)</t>
  </si>
  <si>
    <t>Total Vote 3725</t>
  </si>
  <si>
    <t>VOTE 3722: COUNTY PUBLIC SERVICE BOARD</t>
  </si>
  <si>
    <t>Programme: 072500 P.1 General Administration, Planning and Support Services</t>
  </si>
  <si>
    <t>Sub programme: 072501 SP. 1.1: Administration</t>
  </si>
  <si>
    <t>Foreign Travel and Subsistence, and Other Transportation Costs</t>
  </si>
  <si>
    <t>Training Expense - Others</t>
  </si>
  <si>
    <t>Recurrent Total</t>
  </si>
  <si>
    <t>Sub Program Total</t>
  </si>
  <si>
    <t>Construction of 70mtr  retaining wall, 27Mtr Perimeter wall and back gate, PWD Ramp, Generator room 4*4mtr, 4 door pit latrine, Supply &amp; installation of 40ft container</t>
  </si>
  <si>
    <t>Sub Total Programme</t>
  </si>
  <si>
    <r>
      <rPr>
        <b/>
        <sz val="12"/>
        <rFont val="Tahoma"/>
        <family val="2"/>
      </rPr>
      <t xml:space="preserve">Programme: </t>
    </r>
    <r>
      <rPr>
        <sz val="12"/>
        <rFont val="Tahoma"/>
        <family val="2"/>
      </rPr>
      <t>072600 P.2 Human Resource Management and Development</t>
    </r>
  </si>
  <si>
    <r>
      <rPr>
        <b/>
        <sz val="12"/>
        <rFont val="Tahoma"/>
        <family val="2"/>
      </rPr>
      <t>Sub programme:</t>
    </r>
    <r>
      <rPr>
        <sz val="12"/>
        <rFont val="Tahoma"/>
        <family val="2"/>
      </rPr>
      <t xml:space="preserve"> 072602 SP. 2.1: Human Resource Management</t>
    </r>
  </si>
  <si>
    <t>2210301</t>
  </si>
  <si>
    <t>Totals</t>
  </si>
  <si>
    <r>
      <rPr>
        <b/>
        <sz val="12"/>
        <rFont val="Tahoma"/>
        <family val="2"/>
      </rPr>
      <t>Sub programme:</t>
    </r>
    <r>
      <rPr>
        <sz val="12"/>
        <rFont val="Tahoma"/>
        <family val="2"/>
      </rPr>
      <t xml:space="preserve"> 072603 SP. 2.2: Human Resource Development</t>
    </r>
  </si>
  <si>
    <r>
      <rPr>
        <b/>
        <sz val="12"/>
        <rFont val="Tahoma"/>
        <family val="2"/>
      </rPr>
      <t xml:space="preserve">Programme: </t>
    </r>
    <r>
      <rPr>
        <sz val="12"/>
        <rFont val="Tahoma"/>
        <family val="2"/>
      </rPr>
      <t>072700 P.3 Governance and County Values</t>
    </r>
  </si>
  <si>
    <r>
      <rPr>
        <b/>
        <sz val="12"/>
        <rFont val="Tahoma"/>
        <family val="2"/>
      </rPr>
      <t>Sub programme:</t>
    </r>
    <r>
      <rPr>
        <sz val="12"/>
        <rFont val="Tahoma"/>
        <family val="2"/>
      </rPr>
      <t xml:space="preserve"> 072702 SP. 3.1: Ethics, Governance and County value</t>
    </r>
  </si>
  <si>
    <t>Total Vote 3722</t>
  </si>
  <si>
    <t>VOTE 3723: COUNTY ASSEMBLY SERVICE BOARD</t>
  </si>
  <si>
    <t>Total Vote 3723</t>
  </si>
  <si>
    <t>TOTAL RECURRENT</t>
  </si>
  <si>
    <t>TOTAL DEVELOPMENT</t>
  </si>
  <si>
    <t>TOTAL COUNTY EXECUTIVE</t>
  </si>
  <si>
    <t>COUNTY ASSEMBLY</t>
  </si>
  <si>
    <t>TOTAL COUNTY BUDGET</t>
  </si>
  <si>
    <t>RESOURCE ENVELOPE</t>
  </si>
  <si>
    <t>SURPLUS/DEFICIT</t>
  </si>
  <si>
    <t>COUNTY GOVERNMENT OF KITUI</t>
  </si>
  <si>
    <t>Part F: Summary of Expenditure by Programmes, 2025/26 – 2028/29</t>
  </si>
  <si>
    <t>Programme</t>
  </si>
  <si>
    <t>Revised Estimates  2025/26</t>
  </si>
  <si>
    <t>Estimates  2026/27</t>
  </si>
  <si>
    <t>Projected Estimates</t>
  </si>
  <si>
    <t>2027/28</t>
  </si>
  <si>
    <t>2028/29</t>
  </si>
  <si>
    <t xml:space="preserve">070101 SP.1.1 General Administration Planning and Support Services </t>
  </si>
  <si>
    <t>0701003710 P1: General Administration Planning and Support Services</t>
  </si>
  <si>
    <t>0703023710 SP 3.2 General Admininistration - Enforcement Unit</t>
  </si>
  <si>
    <t>0703003710 P3: Enforcement Unit</t>
  </si>
  <si>
    <t>0704023710 SP 4.1 Human Resource Management Unit</t>
  </si>
  <si>
    <t>0704003710 SP 4.0 Human Resource Management Unit</t>
  </si>
  <si>
    <t>0705023710 SP 5.1 Special Programmes</t>
  </si>
  <si>
    <t>0705003710 SP 5.0 Special Programmes</t>
  </si>
  <si>
    <t>0706023710 SP 4.1 Records Management</t>
  </si>
  <si>
    <t>0706003710 SP 4.0 Records Management</t>
  </si>
  <si>
    <t>0707023710 SP 7.1 Policy Development and Coordination</t>
  </si>
  <si>
    <t>0707003710 SP 7.0 Policy Development and Coordination</t>
  </si>
  <si>
    <t xml:space="preserve">0703013710 SP 3.1 General Administration - County Secretary,Enforcement and Transport </t>
  </si>
  <si>
    <t>0709013710 SP 9.1 Cabinet Affairs</t>
  </si>
  <si>
    <t>0703003710 P3 Legal and Head of Public Service Administration (Office of the County Secretary)</t>
  </si>
  <si>
    <t>Public Communication</t>
  </si>
  <si>
    <t>Protocol Unit</t>
  </si>
  <si>
    <t>Office of the County Attorney</t>
  </si>
  <si>
    <t>Office of the Chief of Staff</t>
  </si>
  <si>
    <t>0707003710 P4: Decentralized Units Service Delivery Cordination</t>
  </si>
  <si>
    <t>0707003710: County Government Administration and Field Services</t>
  </si>
  <si>
    <t>SP7.1: 071201:  Management of devolution affairs</t>
  </si>
  <si>
    <t>0706003710 P7: Devolution Services</t>
  </si>
  <si>
    <t>Total Expenditure of Vote</t>
  </si>
  <si>
    <t>TABLE G</t>
  </si>
  <si>
    <t xml:space="preserve">Expenditure Classification </t>
  </si>
  <si>
    <t>Compensation to Employees</t>
  </si>
  <si>
    <t>Use of goods and services</t>
  </si>
  <si>
    <t>Other Recurrent</t>
  </si>
  <si>
    <t>Capital Expenditure</t>
  </si>
  <si>
    <t xml:space="preserve">Acquisition of Non-financial Assets                                      </t>
  </si>
  <si>
    <t>Other Development</t>
  </si>
  <si>
    <t>Total Expenditure by Vote</t>
  </si>
  <si>
    <t>PART H: Summary of Expenditure by Programme and Economic Classification</t>
  </si>
  <si>
    <t>070100 P1 General Administration Planning and Support Services</t>
  </si>
  <si>
    <t>070101 SP.1.1 General Administration Planning and Support Services</t>
  </si>
  <si>
    <t>Recurrent Expenditure</t>
  </si>
  <si>
    <t>Acquisition of Non-financial Assets</t>
  </si>
  <si>
    <t>Other development</t>
  </si>
  <si>
    <t>Total Expenditure by Programme</t>
  </si>
  <si>
    <t>0704023710 SP 4.0 Human Resource Management Unit</t>
  </si>
  <si>
    <t>0705023710 SP 5.0 Special Programmes</t>
  </si>
  <si>
    <t>0708003710 P8: Head of Public Service Administration (Office of the County Secretary)</t>
  </si>
  <si>
    <t>0704013710 SP 8.1 General Administration - County Secretary</t>
  </si>
  <si>
    <t>0709003710 P9: Cabinet Affairs</t>
  </si>
  <si>
    <t>0707003710 P4: Protocol Unit</t>
  </si>
  <si>
    <t>0707013710 SP: 4.1: Protocol Unit</t>
  </si>
  <si>
    <t>0707003710 P4:  County Attorney</t>
  </si>
  <si>
    <t>0707013710 SP: 4.1: County Attorney</t>
  </si>
  <si>
    <t>0707003710 P4: Office of the Chief of Staff</t>
  </si>
  <si>
    <t>0707013710 SP: 4.1: Office of the Chief of Staff</t>
  </si>
  <si>
    <t>0705003710 P2:  Decentralized Units Service Delivery Cordination</t>
  </si>
  <si>
    <t>VOTE 3728: OFFICE OF THE DEPUTY GOVERNOR</t>
  </si>
  <si>
    <t xml:space="preserve">0701003710 P1: General Administration Planning and Support Services </t>
  </si>
  <si>
    <t>100303 SP. 2.3 Wildlife Conservation and Security </t>
  </si>
  <si>
    <t>030601 S.P 2.1: Tourism Promotion and Marketing</t>
  </si>
  <si>
    <t>030603 S.P 2.2: Tourism Infrastructure Development</t>
  </si>
  <si>
    <t>030600 P 2: Tourism Development and Promotion</t>
  </si>
  <si>
    <t>SP1. 0717013710 Performance Contracting.</t>
  </si>
  <si>
    <t>SP2. 0717023710. Disaster and Emergency Services</t>
  </si>
  <si>
    <t>070300371 P3: Performance Contracting, Disaster and Emergency Services</t>
  </si>
  <si>
    <t>PART G: Summary of Expenditure by Vote and Economic Classification</t>
  </si>
  <si>
    <t>100303 SP. 2.2 Wildlife Conservation and Security </t>
  </si>
  <si>
    <t>030600 P 3: Tourism Development and Promotion</t>
  </si>
  <si>
    <t>030601 S.P 3.1: Tourism Promotion and Marketing</t>
  </si>
  <si>
    <r>
      <rPr>
        <b/>
        <sz val="14"/>
        <color rgb="FF000000"/>
        <rFont val="Times New Roman"/>
        <family val="1"/>
      </rPr>
      <t>030603 S.P 3.3: Tourism Infrastructure Development</t>
    </r>
    <r>
      <rPr>
        <sz val="14"/>
        <color rgb="FF000000"/>
        <rFont val="Times New Roman"/>
        <family val="1"/>
      </rPr>
      <t> </t>
    </r>
  </si>
  <si>
    <t>0111013710 SP. 8.1 Water Storage and Flood Control</t>
  </si>
  <si>
    <t>0111023710 SP. 8.2  Water Supply Sustainability</t>
  </si>
  <si>
    <t>0111003710 P.8 Water Resources Management</t>
  </si>
  <si>
    <t>0104013710 SP 5.1 Small Scale Cluster Irrigation Development</t>
  </si>
  <si>
    <t>0104003710 P5: Irrigation Development and Management(Agricultural mechanization and Irrigation Services)</t>
  </si>
  <si>
    <t>Total Expenditure</t>
  </si>
  <si>
    <t>Part G. Summary of Expenditure by Vote and Economic Classification</t>
  </si>
  <si>
    <t>Acquisition of Non-Financial Assets</t>
  </si>
  <si>
    <t>Total Expenditure of Vote 0 &amp;1</t>
  </si>
  <si>
    <t>Part H. Summary of Expenditure by Programme and Economic Classification</t>
  </si>
  <si>
    <t>301 General Administration and Planning</t>
  </si>
  <si>
    <t>0111003710 P8: Water Resources Management</t>
  </si>
  <si>
    <t>0111023710 SP. 8.2  Water Supply Infrastructure</t>
  </si>
  <si>
    <t>0104003710 P2: Irrigation Development and Management(Agricultural mechanization and Irrigation Services)</t>
  </si>
  <si>
    <t>0104013710 SP 2.1 Small Scale Cluster Irrigation Development</t>
  </si>
  <si>
    <t>VOTE 3730: MINISTRY OF EDUCATION, TRAINING &amp; SKILLS DEVELOPMENT</t>
  </si>
  <si>
    <t>SP1.1 General Administration planning and support services</t>
  </si>
  <si>
    <t>P1. General Administration, Planning and Support Services</t>
  </si>
  <si>
    <t>S P    2.1 Early Child Development and Education</t>
  </si>
  <si>
    <t>P2. Primary education</t>
  </si>
  <si>
    <t xml:space="preserve">S P    3.1 Revitalization of Youth Polytechnics </t>
  </si>
  <si>
    <t>P4 Youth training and development</t>
  </si>
  <si>
    <t>S P     5.1 Examination and Certification</t>
  </si>
  <si>
    <t>P5 Quality assurance and standards</t>
  </si>
  <si>
    <t>SP 1.1 070101 SP1.1 General Administration planning and support services</t>
  </si>
  <si>
    <t>P. 2.      050100 Primary Education</t>
  </si>
  <si>
    <t>S P         050104 Early Child Development and Education</t>
  </si>
  <si>
    <t>P. 4      050700 Youth Training and Development</t>
  </si>
  <si>
    <t xml:space="preserve">S P    4.1   050701 Revitalization of Youth Polytechnics </t>
  </si>
  <si>
    <t>P. 4     050300 Quality Assurance and Standards</t>
  </si>
  <si>
    <t>S P     3.1 050302   Examination and Certification</t>
  </si>
  <si>
    <t>SP 1.1. Administration, Planning &amp; Support Services</t>
  </si>
  <si>
    <t>010600 P 1 General Administration Planning and Support Services</t>
  </si>
  <si>
    <t>SP 3.1. Stalled and new Government buildings</t>
  </si>
  <si>
    <t>010300 P 3 Government Buildings</t>
  </si>
  <si>
    <t>SP 5.1 Construction of Roads and Bridges</t>
  </si>
  <si>
    <t>SP 5.2 Mechanial Services</t>
  </si>
  <si>
    <t>Department of Boda Boda Sector</t>
  </si>
  <si>
    <t>020200 P.5 Road Transport</t>
  </si>
  <si>
    <t>0101013710:P1. General Administration Planning and Support Services</t>
  </si>
  <si>
    <t>0101013710SP 1.1. Administration, Planning &amp; Support Services</t>
  </si>
  <si>
    <t>Other</t>
  </si>
  <si>
    <t>0109003710 P4. Government Buildings</t>
  </si>
  <si>
    <t>0109013710 SP 4.1. Stalled and new Government buildings</t>
  </si>
  <si>
    <t>0110003710 P5. Road Transport</t>
  </si>
  <si>
    <t>0110013710 SP 5.1 Construction of Roads and Bridges</t>
  </si>
  <si>
    <t>0110003710 P5. Transport and Boda Boda Sector</t>
  </si>
  <si>
    <t>0110013710 SP 5.2 Mechanical Services</t>
  </si>
  <si>
    <t>SP 1.1 (040404) Human Resource Management</t>
  </si>
  <si>
    <t>SP. 1.2 (040401) Health Policy, planning and Finance</t>
  </si>
  <si>
    <t>SP. 1.3 (040402) Standards, Quality Assurance &amp; Standards</t>
  </si>
  <si>
    <t>SUB PROGRAMME: SP. 4.2 (040201) County Referral Services {Ambulance Referal Services Sub- Programme}</t>
  </si>
  <si>
    <t>040202 SP. 4.5 MENTAL HEALTH (HOSPITAL FIF /COST SHARING FUNDS FOR 11 COUNTY HOSPITALS)</t>
  </si>
  <si>
    <t>SUB PROGRAMME: 040501 SP. 2.1 FAMILY PLANNING SERVICES</t>
  </si>
  <si>
    <t xml:space="preserve">SUB PROGRAMME: SP. 2.2  '0404043710 PRIMARY CARE NETWORKS </t>
  </si>
  <si>
    <t xml:space="preserve">SUB PROGRAMME: SP. 0404033710 SP. 2.2 IMMUNIZATION AND DISEASE SURVEILLANCE </t>
  </si>
  <si>
    <t xml:space="preserve">SUB PROGRAMME:0404033710 SP. 2.2 IMMUNIZATION AND DISEASE SURVEILLANCE </t>
  </si>
  <si>
    <t xml:space="preserve">SUB PROGRAMME: 3.2 (040301) COMMUNICABLE DISEASE CONTROL {Public health Operations Sub- Programme} </t>
  </si>
  <si>
    <t>SUB PROGRAMME SP. 3.3 : (040102) NON-COMMUNICABLE DISEASE PREVENTION &amp; CONTROL {Tulinde Afya Yetu  Sub- Programme}</t>
  </si>
  <si>
    <t>s</t>
  </si>
  <si>
    <t>SP. 4.3 (040402) Specilalised Services { Mobile Health Clinic Services Sub- Programme}</t>
  </si>
  <si>
    <t xml:space="preserve">SUB PROGRAMME: SP 4.4 (040203) Free Primary Health (Compensation for User fees) - </t>
  </si>
  <si>
    <t>SUB PROGRAMME: SP. 4.1 (040204) FORENSIC AND DIAGNOSTICS {Health Products and Technologies sub- Programme}</t>
  </si>
  <si>
    <t xml:space="preserve"> DRUGS AND MEDICAL SUPPLIES MANAGEMENT</t>
  </si>
  <si>
    <t>PART H: SUMMARY OF EXPENDITURE BY PROGRAMME AND ECONOMIC CLASSIFICATION</t>
  </si>
  <si>
    <t>PROGRAMME: P.1 (040400) GENERAL ADMINISTRATION, PLANNING &amp; SUPPORT SERVICES</t>
  </si>
  <si>
    <t>SP 1.1 (040404) HUMAN RESOURCE MANAGEMENT {GENERAL ADMINISTRATION AND PUBLIC PARTICIPATION}</t>
  </si>
  <si>
    <t>SP. 1.20401033710 SP. 1.3 HEALTH STANDARDS, QUALITY ASSURANCE &amp; STANDARD</t>
  </si>
  <si>
    <t>SP. 1.3  0401023710 SP. 1.2 HEALTH POLICY, PLANNING &amp; FINANCING</t>
  </si>
  <si>
    <t xml:space="preserve"> 4.5 HOSPITAL FIF /COST SHARING REFUNDS FOR THE 11 COUNTY HOSPITALS - Assign code</t>
  </si>
  <si>
    <t>PROGRAMME: P.2 (040500) MATERNAL AND CHILD HEALTH</t>
  </si>
  <si>
    <t>SUB PROGRAMME: SP. 2.2 (040502) 2.2 Maternity (Free Maternity Grant)</t>
  </si>
  <si>
    <t>PROGRAMME: P.3 (040100) PREVENTIVE &amp; PROMOTIVE HEALTH SERVICES</t>
  </si>
  <si>
    <t>SUB PROGRAMME: SP 3.1 Health Promotion Sub Programme</t>
  </si>
  <si>
    <t xml:space="preserve">SUB PROGRAMME: '0404043710 PRIMARY CARE NETWORKS </t>
  </si>
  <si>
    <t xml:space="preserve">SUB PROGRAMME: 0404033710 SP. 2.2 IMMUNIZATION AND DISEASE SURVEILLANCE </t>
  </si>
  <si>
    <t>SP. 4.3 0403033710 SUB PROGRAMME: 2.6:(040401) HEALTH PROMOTION</t>
  </si>
  <si>
    <t>2.5 SUB PROGRAMME: 2.4 (040301) COMMUNICABLE DISEASE CONTROL</t>
  </si>
  <si>
    <t>2.5 2.6SUB PROGRAMME: 2.5 (040302) NON-COMMUNICABLE DISEASE PREVENTION &amp; CONTROL {Nutrition sub programme}</t>
  </si>
  <si>
    <t>2.5 2.6:SUB PROGRAMME: 2.6:(040401) HEALTH PROMOTION</t>
  </si>
  <si>
    <t xml:space="preserve">2.5 2.6:SP. 3.3 (040402) Specilalised Services </t>
  </si>
  <si>
    <t>PROGRAMME: P.4 (040200) CURATIVE HEALTH SERVICES</t>
  </si>
  <si>
    <t>SUB PROGRAMME: 0402003710 P.3 CURATIVE HEALTH SERVICES</t>
  </si>
  <si>
    <t>030101 S.P 1 General administration and support</t>
  </si>
  <si>
    <t>030100 P.1 General administration and support-H/Qs</t>
  </si>
  <si>
    <t>030701 S.P 2.1Domestic Trade Development</t>
  </si>
  <si>
    <t xml:space="preserve"> 030702 S.P 2.2 Fair Trade Practice and Consumer Protection</t>
  </si>
  <si>
    <t>030700 P 2:Trade  development and Promotion</t>
  </si>
  <si>
    <t>030401 SP. 3.1 governance and accountability</t>
  </si>
  <si>
    <t>030403 SP. 3.2 Marketing, Value Addition and Research</t>
  </si>
  <si>
    <t>030400 P3 Cooperative development and Management</t>
  </si>
  <si>
    <t xml:space="preserve">Total Expenditure of all programmes </t>
  </si>
  <si>
    <r>
      <rPr>
        <b/>
        <sz val="14"/>
        <color rgb="FF000000"/>
        <rFont val="Times New Roman"/>
        <family val="1"/>
      </rPr>
      <t>030100 P.1</t>
    </r>
    <r>
      <rPr>
        <sz val="14"/>
        <color rgb="FF000000"/>
        <rFont val="Times New Roman"/>
        <family val="1"/>
      </rPr>
      <t xml:space="preserve"> </t>
    </r>
    <r>
      <rPr>
        <b/>
        <sz val="14"/>
        <color rgb="FF000000"/>
        <rFont val="Times New Roman"/>
        <family val="1"/>
      </rPr>
      <t>General Administration and Support services</t>
    </r>
  </si>
  <si>
    <t xml:space="preserve">030101 SP1 General Administration and support services </t>
  </si>
  <si>
    <t xml:space="preserve">Other development </t>
  </si>
  <si>
    <t xml:space="preserve">030700 P 2 Trade development and Promotion </t>
  </si>
  <si>
    <t>030701 S.P 2.1 Domestic Trade Development</t>
  </si>
  <si>
    <t>030702 S.P 2.2 Fair Trade Practice and Consumer Protection</t>
  </si>
  <si>
    <t>030400 P 3 Cooperative Development and Management</t>
  </si>
  <si>
    <t>030401 SP. 3.1 Governance and Accountability</t>
  </si>
  <si>
    <t>Sub-programme: 030403 SP. 3.2 Marketing, Value Addition and Research</t>
  </si>
  <si>
    <t>VOTE 3733: MINISTRY OF ENERGY, ENVIRONMENT, FORESTRY, NATURAL &amp; MINERAL RESOURCES</t>
  </si>
  <si>
    <t>100101 SP 1 Environmental Policy Management</t>
  </si>
  <si>
    <t xml:space="preserve"> 100202 SP.   2.2 Environmental Research and Development</t>
  </si>
  <si>
    <t>Climate change Adaptation and Mitigation</t>
  </si>
  <si>
    <t xml:space="preserve">100300 P1 Natural Resources Conservation and Management </t>
  </si>
  <si>
    <t>100401SP. 4.1  Environmental Management and Awareness</t>
  </si>
  <si>
    <t>100402 Forest Conservation and Management</t>
  </si>
  <si>
    <t>100201 SP. 1.1 Catchment Rehabilitation and Conservation</t>
  </si>
  <si>
    <t>100200 P2 Environment Management and Protection</t>
  </si>
  <si>
    <t>021302 SP 5 Rural Electrification</t>
  </si>
  <si>
    <t>021300 P5 Power  Transmission and Distribution</t>
  </si>
  <si>
    <t>021401 SP 6 Alternative Energy Technologies</t>
  </si>
  <si>
    <t>021400 P6 Alternative Energy Technologies</t>
  </si>
  <si>
    <t>021203 Community sensitization and awareness creation in minerals rich areas</t>
  </si>
  <si>
    <t>100701 Training and Capacity building</t>
  </si>
  <si>
    <t>100701 SP 8 Mining Policy Development and Coordination</t>
  </si>
  <si>
    <t>100901 SP. 9 Mineral Resources Development</t>
  </si>
  <si>
    <t>100900 P8 Mineral Resources Management</t>
  </si>
  <si>
    <t>100100 P1. General Administration, Planning and Support Services</t>
  </si>
  <si>
    <t>100101 SP 1.1 Environmental Policy Management</t>
  </si>
  <si>
    <t>Programme 2: 100200 Environmental Research and development</t>
  </si>
  <si>
    <t>Climate Change Adaptation and Mitigation</t>
  </si>
  <si>
    <t>100301 SP. 1.1 Forest Conservation and Tree Growing</t>
  </si>
  <si>
    <t>100200 P1 Environmental Management and Protection</t>
  </si>
  <si>
    <t>021300 P 5:  Power Transmission and Distribution</t>
  </si>
  <si>
    <t>021302 SP 5.1 Rural Electrification</t>
  </si>
  <si>
    <t>021400 P 6:  Alternative Energy Technologies</t>
  </si>
  <si>
    <t>021401 SP 6.1 Alternative Energy Technologies</t>
  </si>
  <si>
    <t>Sub programme: 021203 Community sensitization and awareness creation in minerals rich areas</t>
  </si>
  <si>
    <t>Sub programme: 100701 Training and Capacity building</t>
  </si>
  <si>
    <t>100900 P.8. Mineral Resources Management</t>
  </si>
  <si>
    <t>100701 SP 8.1 Mining Policy Development and Coordination</t>
  </si>
  <si>
    <t>100901 SP.8.2 Mineral Resources Development</t>
  </si>
  <si>
    <t>VOTE 3734: MINISTRY OF CULTURE, GENDER, YOUTH, ICT,SPORTS AND SOCIAL SERVICES</t>
  </si>
  <si>
    <t>030801 S.P 1.1: General administration planning and support services</t>
  </si>
  <si>
    <t>030800 P1 General Administration</t>
  </si>
  <si>
    <t>090101 SP. 3.1 Sports Training and competitions</t>
  </si>
  <si>
    <t>090102 SP. 3.2 Development and Management of Sports Facilities</t>
  </si>
  <si>
    <t>090100 P.3 Sports</t>
  </si>
  <si>
    <t>SP 3.1: ICT Infrastructure Connectivity</t>
  </si>
  <si>
    <t>021000 P3 ICT Infrastructure Development</t>
  </si>
  <si>
    <r>
      <rPr>
        <sz val="14"/>
        <color rgb="FF000000"/>
        <rFont val="Times New Roman"/>
        <family val="1"/>
      </rPr>
      <t xml:space="preserve">090201 SP. 4.1 </t>
    </r>
    <r>
      <rPr>
        <b/>
        <sz val="14"/>
        <color rgb="FF000000"/>
        <rFont val="Times New Roman"/>
        <family val="1"/>
      </rPr>
      <t xml:space="preserve"> </t>
    </r>
    <r>
      <rPr>
        <sz val="14"/>
        <color rgb="FF000000"/>
        <rFont val="Times New Roman"/>
        <family val="1"/>
      </rPr>
      <t>Conservation of Heritage</t>
    </r>
  </si>
  <si>
    <t>090200 P.4 Culture</t>
  </si>
  <si>
    <t>071106 P.5 Gender &amp; Socio-economic empowerment</t>
  </si>
  <si>
    <t>071100 P5: Gender</t>
  </si>
  <si>
    <t>090802 S.P 6.1: Community Mobilization and development</t>
  </si>
  <si>
    <t>090803 S.P 6.2:  Child Community Support Services</t>
  </si>
  <si>
    <t>090800 P 6: Social Development and Children Services</t>
  </si>
  <si>
    <t>S.P.4.2 Youth Development Services</t>
  </si>
  <si>
    <t>P4 Youth Development Services</t>
  </si>
  <si>
    <r>
      <rPr>
        <b/>
        <sz val="14"/>
        <color rgb="FF000000"/>
        <rFont val="Times New Roman"/>
        <family val="1"/>
      </rPr>
      <t>PART G: Summary of Expenditure by Vote and Economic Classification</t>
    </r>
    <r>
      <rPr>
        <sz val="14"/>
        <color rgb="FF000000"/>
        <rFont val="Times New Roman"/>
        <family val="1"/>
      </rPr>
      <t> </t>
    </r>
  </si>
  <si>
    <t>P1. 030800 P 1: General Administration, Planning and Support Services</t>
  </si>
  <si>
    <r>
      <rPr>
        <b/>
        <sz val="14"/>
        <color rgb="FF000000"/>
        <rFont val="Times New Roman"/>
        <family val="1"/>
      </rPr>
      <t>030801 S.P 1.1: General administration planning and support services</t>
    </r>
    <r>
      <rPr>
        <sz val="14"/>
        <color rgb="FF000000"/>
        <rFont val="Times New Roman"/>
        <family val="1"/>
      </rPr>
      <t> </t>
    </r>
  </si>
  <si>
    <t>071103 S.P.4.2 Youth Development Services</t>
  </si>
  <si>
    <t>021001 SP 3.1: ICT Infrastructure Connectivity</t>
  </si>
  <si>
    <t xml:space="preserve">090101 SP. 3.1 Sports Training and competitions </t>
  </si>
  <si>
    <t>071106 S.P.2.2 Gender</t>
  </si>
  <si>
    <t>090201 SP. 4.1 Conservation of Heritage</t>
  </si>
  <si>
    <t>090800 P 5: Social Development and Children Services</t>
  </si>
  <si>
    <t xml:space="preserve">090802 S.P 5.1: Community Mobilization and development </t>
  </si>
  <si>
    <t>090803 S.P 5.2:  Child Community Support Services</t>
  </si>
  <si>
    <t>VOTE 3735: FINANCE, ECONOMIC PLANNING &amp; REVENUE MANAGEMENT</t>
  </si>
  <si>
    <t>SP1.1 Human Resources and Support Services</t>
  </si>
  <si>
    <t>SP2.1 Economic Planning Coordination services</t>
  </si>
  <si>
    <t>P2. Economic Policy and National Planning</t>
  </si>
  <si>
    <t>SP3.1 County Integrated Monitoring and Evaluation</t>
  </si>
  <si>
    <t>P3. Monitoring and Evaluation Services</t>
  </si>
  <si>
    <t>SP4.1 Resource Mobilization</t>
  </si>
  <si>
    <t>SP4.2 Budget Formulation Coordination and Management</t>
  </si>
  <si>
    <t>SP4.3 Audit Services</t>
  </si>
  <si>
    <t>SP4.4 Financial Services</t>
  </si>
  <si>
    <t>SP4.5 Supply Chain Management Services</t>
  </si>
  <si>
    <t>P4. Public Financial Management</t>
  </si>
  <si>
    <t>070900 P1: General Administration Planning and Support Services</t>
  </si>
  <si>
    <t xml:space="preserve"> 070901 S.P.1.1 Human Resources and Support Services</t>
  </si>
  <si>
    <t xml:space="preserve"> </t>
  </si>
  <si>
    <t xml:space="preserve"> 070600 P2: Economic Policy and National Planning</t>
  </si>
  <si>
    <t xml:space="preserve"> 070601 S.P2.1 Economic Planning Coordination services</t>
  </si>
  <si>
    <t>071802 SP 4.2 Budget Formulation Coordination and Management</t>
  </si>
  <si>
    <t>070800 P3: Monitoring and Evaluation Services</t>
  </si>
  <si>
    <t>070801 S.P.3.1 County Integrated Monitoring and Evaluation</t>
  </si>
  <si>
    <t xml:space="preserve"> 071800 P 4: Public Financial Management</t>
  </si>
  <si>
    <t xml:space="preserve"> 071801 SP 4.1 Resource Mobilization</t>
  </si>
  <si>
    <t>071803 SP 2.3 Audit Services</t>
  </si>
  <si>
    <t>071804 SP 2.5 Financial Services</t>
  </si>
  <si>
    <t>0704003710 P4: Department of Supply Chain Management Services</t>
  </si>
  <si>
    <t>VOTE 3736: MINISTRY OF AGRICULTURE &amp; LIVESTOCK</t>
  </si>
  <si>
    <t xml:space="preserve">0101013710 SP 1.1 Administration Services </t>
  </si>
  <si>
    <t>0102013710 SP 2.1  Farm Input Support/Seed Bulking-Fruit trees/vegetable nurseries development</t>
  </si>
  <si>
    <t>0102003710 P2: Land and Crops Development(Crop Development and Management)</t>
  </si>
  <si>
    <t>0103023710 SP 3.1 Farm and Agribusiness Management</t>
  </si>
  <si>
    <t>0103003710 P3: Agribusiness and Information Management (Farm development and Agribusiness development)</t>
  </si>
  <si>
    <r>
      <rPr>
        <b/>
        <sz val="14"/>
        <color rgb="FF000000"/>
        <rFont val="Times New Roman"/>
        <family val="1"/>
      </rPr>
      <t>SP4.2</t>
    </r>
    <r>
      <rPr>
        <sz val="14"/>
        <color rgb="FF000000"/>
        <rFont val="Times New Roman"/>
        <family val="1"/>
      </rPr>
      <t xml:space="preserve"> Agricultural Extension and  advisory services</t>
    </r>
  </si>
  <si>
    <t>P 4: Agricultural Extension Services and Training</t>
  </si>
  <si>
    <t>0105003710 SP 2: 1 Aquaculture Development</t>
  </si>
  <si>
    <t>0105003710 P2: Fisheries Development and Management</t>
  </si>
  <si>
    <t>0106013710 SP 3.1  Livestock Production and Management</t>
  </si>
  <si>
    <t>0106023710 SP 3.2 Livestock Diseases Management and Control</t>
  </si>
  <si>
    <t xml:space="preserve">0106003710  P 3: Livestock Resources Management and Development </t>
  </si>
  <si>
    <t>General Administration and Planning</t>
  </si>
  <si>
    <t>302 Department of Agriculture</t>
  </si>
  <si>
    <r>
      <rPr>
        <b/>
        <sz val="14"/>
        <color rgb="FF000000"/>
        <rFont val="Times New Roman"/>
        <family val="1"/>
      </rPr>
      <t>0102013710 SP 2.1  Farm Input Support/Seed Bulking-</t>
    </r>
    <r>
      <rPr>
        <sz val="14"/>
        <color rgb="FF000000"/>
        <rFont val="Times New Roman"/>
        <family val="1"/>
      </rPr>
      <t>Fruit trees/vegetable nurseries development</t>
    </r>
  </si>
  <si>
    <t>0101020000 P.4 Agricultural Information Management (Extension services)</t>
  </si>
  <si>
    <t>Livestock and apiculture</t>
  </si>
  <si>
    <t>P1. General Administration Planning and Support Services</t>
  </si>
  <si>
    <t>SP 3.1. Housing Development</t>
  </si>
  <si>
    <t>010200 P.2 Housing Development and Human Settlement</t>
  </si>
  <si>
    <t>SP 2.1. Land Information Management</t>
  </si>
  <si>
    <t>SP 2.2. Land Survey</t>
  </si>
  <si>
    <t>SP 2.3. Land Adjudication</t>
  </si>
  <si>
    <t>SP 2.4 Urban Development and Human Settlement</t>
  </si>
  <si>
    <t> 010100 P 2 Land Policy and Planning</t>
  </si>
  <si>
    <t>010700371 P3. Housing Development and Human Settlement</t>
  </si>
  <si>
    <t>0107013710 SP 3.1. Housing Development</t>
  </si>
  <si>
    <t>P2. Land Policy and Planning</t>
  </si>
  <si>
    <t>2026/27</t>
  </si>
  <si>
    <t>010601 SP.1.1 Administration, Planning &amp; Support Services</t>
  </si>
  <si>
    <t>020201 SP. 2.1 Construction of Roads and Bridges</t>
  </si>
  <si>
    <t>020200 P.2 Road Transport</t>
  </si>
  <si>
    <t xml:space="preserve"> 030701 S.P 3.1: Domestic Trade Development</t>
  </si>
  <si>
    <t xml:space="preserve"> 030700 P 3: Trade Development and Promotion</t>
  </si>
  <si>
    <t xml:space="preserve"> 073202 SP 3.2 Finance Management Services</t>
  </si>
  <si>
    <t xml:space="preserve"> 073000 P.1 Control and Management of Public finances</t>
  </si>
  <si>
    <t xml:space="preserve"> 090200 P.2 Culture</t>
  </si>
  <si>
    <t>090000 P .5 Social Protection, Culture and Recreation</t>
  </si>
  <si>
    <t>KUSP</t>
  </si>
  <si>
    <t>P.6 Kenya Urban Support Programme</t>
  </si>
  <si>
    <t>Total Expenditure by vote</t>
  </si>
  <si>
    <t>Programme:010600 P 1 General Administration Planning and   Support Services</t>
  </si>
  <si>
    <t>Sub-programme:010601 SP.1.1 Administration, Planning &amp; Support Services</t>
  </si>
  <si>
    <t>Total Expenditure by Sub-Programme</t>
  </si>
  <si>
    <t>0202003710 P.2 Planning, Development Control, Transport and Infrastructure</t>
  </si>
  <si>
    <t>0202013710 SP. 2.1 Construction of Roads and Bridges Services</t>
  </si>
  <si>
    <t xml:space="preserve">Environment, Culture, Recreation and Community Development  </t>
  </si>
  <si>
    <t>090000 P .1Social Protection, Culture and Recreation</t>
  </si>
  <si>
    <t>Kenya Urban Support Programme</t>
  </si>
  <si>
    <t>VOTE 3725: MWINGI TOWN ADMINISTRATION</t>
  </si>
  <si>
    <t>SP.1.1 Administration, Planning &amp; Support Services</t>
  </si>
  <si>
    <t>SP.4.1 Environmental Policy Management</t>
  </si>
  <si>
    <t>010600 P1 General Administration Planning and Support Services</t>
  </si>
  <si>
    <t>SP.2.1 Stalled and new Government buildings</t>
  </si>
  <si>
    <t>010300 P2 Government Buildings</t>
  </si>
  <si>
    <t>SP.3.1 Urban Mobility and Transport</t>
  </si>
  <si>
    <t>SP.3.2 Safety and Emergency</t>
  </si>
  <si>
    <t>SP.3.3 Urban Markets Development</t>
  </si>
  <si>
    <t>010500 P3 Urban and Metropolitan Development</t>
  </si>
  <si>
    <t>SP.5.1 Capacity Building</t>
  </si>
  <si>
    <t>071200 P4: Devolution Services</t>
  </si>
  <si>
    <t>PART H: Summary of Expenditure by Programme and Economic Classification FY 2025/26 – 2028/29</t>
  </si>
  <si>
    <t>P1 General Administration Planning and Support Services</t>
  </si>
  <si>
    <t>Total Expenditure by Sub-programme</t>
  </si>
  <si>
    <t>P2 Government Buildings</t>
  </si>
  <si>
    <t>SP.2.1 Stalled and new Government buildings.</t>
  </si>
  <si>
    <t>P3 Urban and Metropolitan Development</t>
  </si>
  <si>
    <t>1001000000 Environmental Policy Management</t>
  </si>
  <si>
    <t>P4: Devolution Services</t>
  </si>
  <si>
    <t>SP.4.1 Capacity Building</t>
  </si>
  <si>
    <t>072501 SP. 1.1: Administration</t>
  </si>
  <si>
    <t>072500 P.1 General Administration, Planning and Support Services</t>
  </si>
  <si>
    <t>072602 SP. 2.1: Human Resource Management</t>
  </si>
  <si>
    <t>072603 SP. 2.2: Human Resource Development</t>
  </si>
  <si>
    <t>72600 P.2 Human Resource Management and Development</t>
  </si>
  <si>
    <t>Sub programme: 072702 SP. 3.1: Ethics, Governance and County value</t>
  </si>
  <si>
    <t>Programme: 072700 P.3 Governance and County Values</t>
  </si>
  <si>
    <t>072600 P.2 Human Resource Management and Development</t>
  </si>
  <si>
    <t>072700 P.3 Governance and National Values</t>
  </si>
  <si>
    <t>072702 SP. 3.1: Ethics, Governance and National Values</t>
  </si>
  <si>
    <t>071501 P.2 Legislation, Representation and Oversight</t>
  </si>
  <si>
    <t>070101 P.1 General Administration, Planning and Support Services</t>
  </si>
  <si>
    <t>ANNEX XII:</t>
  </si>
  <si>
    <t xml:space="preserve"> SUMMARY OF RECOMMENDED EXPENDITURE BY PROGRAMME FOR KITUI COUNTY BUDGET FY 2026/27</t>
  </si>
  <si>
    <t>VOTE CODE TITLE</t>
  </si>
  <si>
    <t>PROGRAMME CODE AND TITLE</t>
  </si>
  <si>
    <t>RECURRENT ESTIMATES</t>
  </si>
  <si>
    <t>DEVELOPMENT ESTIMATES</t>
  </si>
  <si>
    <t>Kshs</t>
  </si>
  <si>
    <t>Office of The Governor</t>
  </si>
  <si>
    <t>Total</t>
  </si>
  <si>
    <t>0704003710 SP 4.1 Public Communication</t>
  </si>
  <si>
    <t xml:space="preserve">0707003710 P8: Monitoring and Evaluation </t>
  </si>
  <si>
    <t>0705003710 P6: County Government Administration and Field Services</t>
  </si>
  <si>
    <t>Office of The Deputy Governor</t>
  </si>
  <si>
    <t>0305003710 P2: Tourism Development and Promotion</t>
  </si>
  <si>
    <t>Performance Contracting, Disaster and Emergency Services</t>
  </si>
  <si>
    <t>Water &amp; Irrigation</t>
  </si>
  <si>
    <t>0101003710 P1: General Administration Planning and Support Services</t>
  </si>
  <si>
    <t xml:space="preserve">0111003710 P8: Water Resources Management Administration Services </t>
  </si>
  <si>
    <t>0104003710 P2: Irrigation Development and Management(</t>
  </si>
  <si>
    <t>Education,Training &amp; Skills Development</t>
  </si>
  <si>
    <t>0501003710 P1: General Administration, Planning and Support Services</t>
  </si>
  <si>
    <t>0502003710 P2: Primary Education</t>
  </si>
  <si>
    <t>0507003710 P4: Youth Training and Development</t>
  </si>
  <si>
    <t>0503003710 P5: Quality Assurance and Standards</t>
  </si>
  <si>
    <t>Roads, Public Works &amp; Transport</t>
  </si>
  <si>
    <t>0109003710 P4: Government Buildings</t>
  </si>
  <si>
    <t>0110003710 P5: Road Transport</t>
  </si>
  <si>
    <t>0110003710 P5. Transport and Boda Boda Secto</t>
  </si>
  <si>
    <t>Health &amp; Sanitation</t>
  </si>
  <si>
    <t>0401003710 P1: General Administration, Planning &amp; Support Services</t>
  </si>
  <si>
    <t>SUB PROGRAMME: SP. 4.2 (040201) County Referral Services</t>
  </si>
  <si>
    <t xml:space="preserve"> 4.5 HOSPITAL FIF /COST SHARING REFUNDS FOR THE 11 COUNTY HOSPITALS </t>
  </si>
  <si>
    <t>2.5 2.6SUB PROGRAMME: 2.5 (040302) NON-COMMUNICABLE DISEASE PREVENTION &amp; CONTROL</t>
  </si>
  <si>
    <t>Trade, Industry, MSMEs, Innovations &amp; Cooperatives</t>
  </si>
  <si>
    <t>0301003710 P1: General administration and support-H/Qs</t>
  </si>
  <si>
    <t>0303003710 P2: Trade  development and Promotion</t>
  </si>
  <si>
    <t>Energy, Environment, Forestry, Natural &amp; Mineral Resources</t>
  </si>
  <si>
    <t>1001003710 P1 General Administration, Planning and Support Services</t>
  </si>
  <si>
    <t>1002003710 P2 Environment Management and Protection</t>
  </si>
  <si>
    <t>1006003710 P4 Climate Change Adaptation and Mitigation</t>
  </si>
  <si>
    <t>Culture, Gender, Youth, ICT, Sports and Social Services</t>
  </si>
  <si>
    <t>0301003710 P1: General Administration, Planning and Support Services</t>
  </si>
  <si>
    <t>090200 P.4 Culture Conservation of Heritage</t>
  </si>
  <si>
    <t>090803 S.P 5.2:  Child Community Support Serv</t>
  </si>
  <si>
    <t>Finance, Economic Planning &amp; Revenue Management</t>
  </si>
  <si>
    <t>0701003710 P1: General Administration, Planning and Support Services</t>
  </si>
  <si>
    <t>0710003710 P2: Economic Policy and County Planning</t>
  </si>
  <si>
    <t>0711003710 P3: Monitoring and Evaluation Services</t>
  </si>
  <si>
    <t>Agriculture &amp; Livestock</t>
  </si>
  <si>
    <t>0106003710  P 3: Livestock Resources Management and Development</t>
  </si>
  <si>
    <t>Lands, Housing &amp; Urban Development</t>
  </si>
  <si>
    <t>Kitui Municipality</t>
  </si>
  <si>
    <t>0201003710 P1: General Administration Planning and Support Services</t>
  </si>
  <si>
    <t>Mwingi Municipality</t>
  </si>
  <si>
    <t>County Public Service Board</t>
  </si>
  <si>
    <t>0713003710 P2: Human Resource Management and Development</t>
  </si>
  <si>
    <t>072600 P.2 Human Resource Management and Developmen</t>
  </si>
  <si>
    <t>0714003710 P3: Governance and County Values</t>
  </si>
  <si>
    <t>County Assembly Service Board</t>
  </si>
  <si>
    <t>0701013710 P1: General Administration, Planning and Support Services</t>
  </si>
  <si>
    <t>0715013710 P2: Legislation, Representation and Oversight</t>
  </si>
  <si>
    <t>Total Voted Expenditure Kshs</t>
  </si>
  <si>
    <t>County Executive</t>
  </si>
  <si>
    <t>County Assembly</t>
  </si>
  <si>
    <t>Total County Budget</t>
  </si>
  <si>
    <t>PERCENTAGE</t>
  </si>
  <si>
    <t xml:space="preserve"> KITUI COUNTY BUDGET FY 2026/27</t>
  </si>
  <si>
    <t xml:space="preserve"> KITUI COUNTY BUDGET FY 2025/26</t>
  </si>
  <si>
    <t>County Ministry</t>
  </si>
  <si>
    <t>Recurrent Estimates</t>
  </si>
  <si>
    <t>Total Recurrent Estimates</t>
  </si>
  <si>
    <t>Development Estimates</t>
  </si>
  <si>
    <t>Total Budget Estimates</t>
  </si>
  <si>
    <t>%</t>
  </si>
  <si>
    <t>PE</t>
  </si>
  <si>
    <t>O&amp;M</t>
  </si>
  <si>
    <t>Office of the Governor</t>
  </si>
  <si>
    <t>Office of the Deputy Governor</t>
  </si>
  <si>
    <t>ffff</t>
  </si>
  <si>
    <t>Ministry of Water &amp; Irrigation</t>
  </si>
  <si>
    <t>Ministry of Education, Training &amp; Skills Development</t>
  </si>
  <si>
    <t>Ministry of Roads, Public Works &amp; Transport</t>
  </si>
  <si>
    <t>Ministry of Health &amp; Sanitation</t>
  </si>
  <si>
    <t>Ministry of Trade, Industry, MSMEs, Innovation &amp; Cooperatives</t>
  </si>
  <si>
    <t>Ministry of Energy, Environment, Forestry, Natural &amp; Mineral Resources</t>
  </si>
  <si>
    <t>Ministry of Culture, Gender, Youth, ICT, Sports &amp; Social Services</t>
  </si>
  <si>
    <t>Ministry of Finance, Economic Planning &amp; Revenue Management</t>
  </si>
  <si>
    <t>Ministry of Agriculture &amp; Livestock</t>
  </si>
  <si>
    <t>Ministry of Lands, Housing and Urban Development</t>
  </si>
  <si>
    <t>TOTALS</t>
  </si>
  <si>
    <t>PERCENTAGE (%)</t>
  </si>
  <si>
    <t>VARIANCE</t>
  </si>
  <si>
    <t>CEILING - CFSP</t>
  </si>
  <si>
    <t>MINISTRY</t>
  </si>
  <si>
    <t>OFFICE OF THE GOVERNOR</t>
  </si>
  <si>
    <t>OFFICE OF THE DEPUTY GOVERNOR</t>
  </si>
  <si>
    <t>MINISTRY OF WATER &amp; IRRIGATION</t>
  </si>
  <si>
    <t>MINISTRY OF EDUCATION, TRAINING &amp; SKILLS DEVELOPMENT</t>
  </si>
  <si>
    <t>MINISTRY OF HEALTH &amp; SANITATION</t>
  </si>
  <si>
    <t>MINISTRY OF TRADE, INDUSTRY, MSMEs, INNOVATION &amp; COOPERATIVES</t>
  </si>
  <si>
    <t>MINISTRY OF FINANCE, ECONOMIC PLANNING &amp; REVENUE MANAGEMENT</t>
  </si>
  <si>
    <t>MINISTRY OF LANDS, HOUSING AND URBAN DEVELOPMENT</t>
  </si>
  <si>
    <t>Percentage</t>
  </si>
  <si>
    <t>ANNEX X</t>
  </si>
  <si>
    <t>GLOBAL KITUI COUNTY BUDGET FY 2026/27</t>
  </si>
  <si>
    <t>GROSS CURRENT ESTIMATES</t>
  </si>
  <si>
    <t>GROSS CAPITAL ESTIMATES</t>
  </si>
  <si>
    <t>GROSS TOTAL ESTIMATES</t>
  </si>
  <si>
    <t>2026/27 - Kshs</t>
  </si>
  <si>
    <t>ANNEX VIII:  RESOURCE ENVELOPE FOR KITUI COUNTY FY 2026/2027 BUDGET</t>
  </si>
  <si>
    <t>S/No</t>
  </si>
  <si>
    <t>Source</t>
  </si>
  <si>
    <t>Approved Revenue Estimates 2024/2025</t>
  </si>
  <si>
    <t>Proposed Revenue Supplementary Estimates 2024/25</t>
  </si>
  <si>
    <t>Approved Revenue Estimates 2025/26</t>
  </si>
  <si>
    <t>Revote</t>
  </si>
  <si>
    <t>Adjustment for ELRP - Project Ended, Account Closed and Bank Balances refunded to NPCU - Ministry Headquarter Kilimo House</t>
  </si>
  <si>
    <t xml:space="preserve">Revised Revenue Estimates  FY 2025/26 SUPPLEMENTARY I </t>
  </si>
  <si>
    <t>Revenue Estimates  FY 2026/27 - Budget</t>
  </si>
  <si>
    <t>Projected Revenue Estimates 2027/28</t>
  </si>
  <si>
    <t>Projected Revenue Estimates 2028/29</t>
  </si>
  <si>
    <t>Variance ( Kshs.</t>
  </si>
  <si>
    <t>% Variance</t>
  </si>
  <si>
    <t xml:space="preserve"> Kshs</t>
  </si>
  <si>
    <t>Equitable share</t>
  </si>
  <si>
    <t>Sub Total Equitable Share</t>
  </si>
  <si>
    <t>Grants</t>
  </si>
  <si>
    <t>Free Maternal Healthcare</t>
  </si>
  <si>
    <t>Compensation for User Fees Forgone</t>
  </si>
  <si>
    <t>Settlement of Doctors' Salary Arrears</t>
  </si>
  <si>
    <t>Road Maintenance Fuel Levy</t>
  </si>
  <si>
    <t>Grants from World Bank (KDSP) - Level I</t>
  </si>
  <si>
    <t>Grants from World Bank (KDSP) - Level II</t>
  </si>
  <si>
    <t>World Bank (Universal Health)</t>
  </si>
  <si>
    <t>World Bank (Agriculture - Rural Growth)</t>
  </si>
  <si>
    <t>World Bank (Emergency Locust Response Project (ELRP))</t>
  </si>
  <si>
    <t>Covid - 19 - Ministry of Health and Sanitation</t>
  </si>
  <si>
    <t>IDA (World Bank) credit (National Agricultural Value Chain Development Project (NAVCDP)</t>
  </si>
  <si>
    <t>KWASH</t>
  </si>
  <si>
    <t>HSSP/HSPS - (DANIDA/IDA)</t>
  </si>
  <si>
    <t>County Aggregation and Industrial Parks Programme</t>
  </si>
  <si>
    <t>Community Health Promoters</t>
  </si>
  <si>
    <t>World Bank loan to Supplement financing of  County Health Facilities</t>
  </si>
  <si>
    <t>World Bank Credit to Finance Locally - Led Climate Action Program (FLLoCA)</t>
  </si>
  <si>
    <t>UNFPA (9th Country Programme Implementation)</t>
  </si>
  <si>
    <t>Development of Youth Polytechnics</t>
  </si>
  <si>
    <t>Other GOK Grants (Doctors &amp; Nurses Allowance)</t>
  </si>
  <si>
    <t>Allocations for 0.5% of Housing Levy Fund to the County Rural and Urban Affordable Housing Committees</t>
  </si>
  <si>
    <t>Kenya Urban Support Project - World Bank</t>
  </si>
  <si>
    <t>Kenya Urban Support Programme Phase Two – Urban Development Grant (UDG) Conditional Allocations to County Government’s ( Kitui Municipality)</t>
  </si>
  <si>
    <t>Kenya Urban Support Programme Phase Two – Urban Development Grant (UDG) Conditional Allocations to County Government’s ( Mwingi Municipality)</t>
  </si>
  <si>
    <t>Kenya Urban Support Project (UIG)- World Bank</t>
  </si>
  <si>
    <t xml:space="preserve">Kitui County Pro-poor programme </t>
  </si>
  <si>
    <t>ASDSP</t>
  </si>
  <si>
    <t>Allocation for Court Fines</t>
  </si>
  <si>
    <t>Allocation for 20% Share of Mineral Royalties</t>
  </si>
  <si>
    <t>Subtotal</t>
  </si>
  <si>
    <t>Own Source Revenue</t>
  </si>
  <si>
    <t>County Ministry/ Entity</t>
  </si>
  <si>
    <t>Ministry of Water and Irrigation</t>
  </si>
  <si>
    <t>Ministry of Health and Sanitation - Appropriation - In - Aid (A-I-A)</t>
  </si>
  <si>
    <t>Ministry of Lands, Housing &amp; Urban Development</t>
  </si>
  <si>
    <t>The NHIF arrears amounting to Kshs. 121,742,201 which was not remitted to the Ministry of Health and Sanitation by close of FY 2023/24</t>
  </si>
  <si>
    <t xml:space="preserve">REFUND OF UN-UTILISED PREMIUM PAID FOR UHC MEDICAL PROGRAM </t>
  </si>
  <si>
    <t>Revote from previous budget</t>
  </si>
  <si>
    <t>% of Equitable Share</t>
  </si>
  <si>
    <t>% of Own Resources</t>
  </si>
  <si>
    <t>% of Grants</t>
  </si>
  <si>
    <t>% of Revote</t>
  </si>
  <si>
    <t>Total Resource Envelope</t>
  </si>
  <si>
    <t>0101003710: General Administration and Planning</t>
  </si>
  <si>
    <t>Department of Transport and Mechanical Services</t>
  </si>
  <si>
    <t>Total for Department of Transport and Mechanical Services</t>
  </si>
  <si>
    <t xml:space="preserve">Access Roads (Fuel, maintenance of plant and machinery)-In-house Grading </t>
  </si>
  <si>
    <t>Total for Development for Transport and Mechanical Services</t>
  </si>
  <si>
    <t>Total SP for Development for Mechanical Services</t>
  </si>
  <si>
    <t>Department of Boda Boda</t>
  </si>
  <si>
    <t>Catering Services (Receptions), Accommodation, Gifts, Food and Drinks</t>
  </si>
  <si>
    <t>Total for Department of Boda Boda Sector</t>
  </si>
  <si>
    <t>Organize Training of 800 No. Boda Boda riders leading to issuance of Smart Driving Licences</t>
  </si>
  <si>
    <t>Other non-current transfers (K-WASH (WORLD BANK))</t>
  </si>
  <si>
    <t>K - WASH (World Bank)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</si>
</sst>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0_);_(* \(#,##0\);_(* &quot;-&quot;_);_(@_)"/>
    <numFmt numFmtId="165" formatCode="_(* #,##0.00_);_(* \(#,##0.00\);_(* &quot;-&quot;??_);_(@_)"/>
    <numFmt numFmtId="166" formatCode="_(* #,##0_);_(* \(#,##0\);_(* &quot;-&quot;??_);_(@_)"/>
    <numFmt numFmtId="167" formatCode="_-* #,##0_-;\-* #,##0_-;_-* &quot;-&quot;??_-;_-@_-"/>
    <numFmt numFmtId="168" formatCode="0.0%"/>
    <numFmt numFmtId="169" formatCode="_(* #,##0.0_);_(* \(#,##0.0\);_(* &quot;-&quot;??_);_(@_)"/>
    <numFmt numFmtId="170" formatCode="#,##0_);[Red]\!\(#,##0\!\)"/>
    <numFmt numFmtId="171" formatCode="#,##0_);\!\(#,##0\!\)"/>
    <numFmt numFmtId="172" formatCode="_(* #,##0_);_(* \(#,##0\);_(* &quot;-&quot;?_);_(@_)"/>
    <numFmt numFmtId="173" formatCode="_-* #,##0.0_-;\-* #,##0.0_-;_-* &quot;-&quot;?_-;_-@_-"/>
    <numFmt numFmtId="174" formatCode="#,##0.00_);[Red]\!\(#,##0.00\!\)"/>
    <numFmt numFmtId="175" formatCode="00"/>
  </numFmts>
  <fonts count="66">
    <font>
      <sz val="11"/>
      <name val="Calibri"/>
      <charset val="134"/>
    </font>
    <font>
      <sz val="10"/>
      <color rgb="FF000000"/>
      <name val="Tahoma"/>
      <family val="2"/>
    </font>
    <font>
      <b/>
      <sz val="10"/>
      <name val="Tahoma"/>
      <family val="2"/>
    </font>
    <font>
      <sz val="10"/>
      <name val="Tahoma"/>
      <family val="2"/>
    </font>
    <font>
      <sz val="10"/>
      <color theme="1"/>
      <name val="Tahoma"/>
      <family val="2"/>
    </font>
    <font>
      <b/>
      <sz val="10"/>
      <color rgb="FF000000"/>
      <name val="Tahoma"/>
      <family val="2"/>
    </font>
    <font>
      <b/>
      <sz val="10"/>
      <color theme="1"/>
      <name val="Tahoma"/>
      <family val="2"/>
    </font>
    <font>
      <sz val="11"/>
      <color rgb="FF000000"/>
      <name val="Calibri"/>
      <family val="2"/>
    </font>
    <font>
      <sz val="14"/>
      <name val="Old English Text MT"/>
      <family val="4"/>
    </font>
    <font>
      <sz val="11"/>
      <name val="Calibri"/>
      <family val="2"/>
    </font>
    <font>
      <b/>
      <sz val="12"/>
      <name val="Times New Roman"/>
      <family val="1"/>
    </font>
    <font>
      <b/>
      <sz val="14"/>
      <color rgb="FF000000"/>
      <name val="Times New Roman"/>
      <family val="1"/>
    </font>
    <font>
      <b/>
      <sz val="11"/>
      <color rgb="FF000000"/>
      <name val="Times New Roman"/>
      <family val="1"/>
    </font>
    <font>
      <sz val="11"/>
      <name val="Times New Roman"/>
      <family val="1"/>
    </font>
    <font>
      <sz val="11"/>
      <color rgb="FF000000"/>
      <name val="Times New Roman"/>
      <family val="1"/>
    </font>
    <font>
      <sz val="10"/>
      <color rgb="FF000000"/>
      <name val="Calibri"/>
      <family val="2"/>
    </font>
    <font>
      <b/>
      <sz val="10"/>
      <color rgb="FF000000"/>
      <name val="Calibri"/>
      <family val="2"/>
    </font>
    <font>
      <b/>
      <sz val="10"/>
      <color rgb="FF000000"/>
      <name val="Tahoma"/>
      <family val="2"/>
    </font>
    <font>
      <sz val="10"/>
      <color rgb="FF000000"/>
      <name val="Tahoma"/>
      <family val="2"/>
    </font>
    <font>
      <b/>
      <sz val="12"/>
      <color rgb="FF000000"/>
      <name val="Tahoma"/>
      <family val="2"/>
    </font>
    <font>
      <sz val="12"/>
      <color rgb="FF000000"/>
      <name val="Tahoma"/>
      <family val="2"/>
    </font>
    <font>
      <b/>
      <sz val="11"/>
      <color rgb="FF000000"/>
      <name val="Calibri"/>
      <family val="2"/>
    </font>
    <font>
      <sz val="16"/>
      <color rgb="FF000000"/>
      <name val="Times New Roman"/>
      <family val="1"/>
    </font>
    <font>
      <b/>
      <sz val="16"/>
      <color rgb="FF000000"/>
      <name val="Times New Roman"/>
      <family val="1"/>
    </font>
    <font>
      <b/>
      <sz val="14"/>
      <name val="Times New Roman"/>
      <family val="1"/>
    </font>
    <font>
      <sz val="14"/>
      <color rgb="FF000000"/>
      <name val="Times New Roman"/>
      <family val="1"/>
    </font>
    <font>
      <sz val="14"/>
      <name val="Times New Roman"/>
      <family val="1"/>
    </font>
    <font>
      <sz val="14"/>
      <color indexed="8"/>
      <name val="Times New Roman"/>
      <family val="1"/>
    </font>
    <font>
      <b/>
      <sz val="12"/>
      <color rgb="FF7030A0"/>
      <name val="Times New Roman"/>
      <family val="1"/>
    </font>
    <font>
      <sz val="12"/>
      <color theme="1"/>
      <name val="Tahoma"/>
      <family val="2"/>
    </font>
    <font>
      <b/>
      <sz val="12"/>
      <color theme="1"/>
      <name val="Tahoma"/>
      <family val="2"/>
    </font>
    <font>
      <sz val="12"/>
      <name val="Tahoma"/>
      <family val="2"/>
    </font>
    <font>
      <sz val="12"/>
      <color rgb="FF7030A0"/>
      <name val="Tahoma"/>
      <family val="2"/>
    </font>
    <font>
      <b/>
      <sz val="12"/>
      <color rgb="FF7030A0"/>
      <name val="Tahoma"/>
      <family val="2"/>
    </font>
    <font>
      <sz val="12"/>
      <color theme="1"/>
      <name val="Calibri"/>
      <family val="2"/>
      <scheme val="minor"/>
    </font>
    <font>
      <b/>
      <sz val="12"/>
      <color theme="1"/>
      <name val="Calibri"/>
      <family val="2"/>
      <scheme val="minor"/>
    </font>
    <font>
      <b/>
      <sz val="12"/>
      <name val="Tahoma"/>
      <family val="2"/>
    </font>
    <font>
      <sz val="12"/>
      <color rgb="FFFF0000"/>
      <name val="Tahoma"/>
      <family val="2"/>
    </font>
    <font>
      <b/>
      <sz val="12"/>
      <color rgb="FFFF0000"/>
      <name val="Tahoma"/>
      <family val="2"/>
    </font>
    <font>
      <sz val="12"/>
      <name val="Calibri"/>
      <family val="2"/>
    </font>
    <font>
      <b/>
      <sz val="22"/>
      <color rgb="FF7030A0"/>
      <name val="Tahoma"/>
      <family val="2"/>
    </font>
    <font>
      <b/>
      <sz val="12"/>
      <color theme="1" tint="4.9989318521683403E-2"/>
      <name val="Tahoma"/>
      <family val="2"/>
    </font>
    <font>
      <sz val="12"/>
      <color indexed="8"/>
      <name val="Tahoma"/>
      <family val="2"/>
    </font>
    <font>
      <b/>
      <sz val="12"/>
      <color indexed="8"/>
      <name val="Tahoma"/>
      <family val="2"/>
    </font>
    <font>
      <b/>
      <i/>
      <sz val="12"/>
      <color rgb="FF7030A0"/>
      <name val="Tahoma"/>
      <family val="2"/>
    </font>
    <font>
      <b/>
      <sz val="12"/>
      <color rgb="FF2A21A5"/>
      <name val="Tahoma"/>
      <family val="2"/>
    </font>
    <font>
      <b/>
      <sz val="12"/>
      <color rgb="FF3B1EEA"/>
      <name val="Tahoma"/>
      <family val="2"/>
    </font>
    <font>
      <sz val="12"/>
      <color rgb="FF8E1EEA"/>
      <name val="Tahoma"/>
      <family val="2"/>
    </font>
    <font>
      <sz val="12"/>
      <color rgb="FF2A21A5"/>
      <name val="Tahoma"/>
      <family val="2"/>
    </font>
    <font>
      <b/>
      <sz val="12"/>
      <color rgb="FF8E1EEA"/>
      <name val="Tahoma"/>
      <family val="2"/>
    </font>
    <font>
      <sz val="12"/>
      <color rgb="FF000000"/>
      <name val="Times New Roman"/>
      <family val="1"/>
    </font>
    <font>
      <b/>
      <sz val="12"/>
      <color rgb="FF6F2F9F"/>
      <name val="Tahoma"/>
      <family val="2"/>
    </font>
    <font>
      <sz val="7"/>
      <name val="Tahoma"/>
      <family val="2"/>
    </font>
    <font>
      <i/>
      <sz val="12"/>
      <name val="Tahoma"/>
      <family val="2"/>
    </font>
    <font>
      <b/>
      <sz val="12"/>
      <color rgb="FF0070C0"/>
      <name val="Tahoma"/>
      <family val="2"/>
    </font>
    <font>
      <sz val="11"/>
      <color indexed="8"/>
      <name val="Calibri"/>
      <family val="2"/>
    </font>
    <font>
      <sz val="11"/>
      <color theme="1"/>
      <name val="Calibri"/>
      <family val="2"/>
      <scheme val="minor"/>
    </font>
    <font>
      <sz val="11"/>
      <color theme="1"/>
      <name val="Times New Roman"/>
      <family val="1"/>
    </font>
    <font>
      <sz val="10"/>
      <name val="Arial"/>
      <family val="2"/>
    </font>
    <font>
      <sz val="12"/>
      <color indexed="10"/>
      <name val="Tahoma"/>
      <family val="2"/>
    </font>
    <font>
      <i/>
      <sz val="12"/>
      <color indexed="10"/>
      <name val="Tahoma"/>
      <family val="2"/>
    </font>
    <font>
      <sz val="10"/>
      <color rgb="FFFF0000"/>
      <name val="Tahoma"/>
      <family val="2"/>
    </font>
    <font>
      <sz val="10"/>
      <color rgb="FFFF0000"/>
      <name val="Calibri"/>
      <family val="2"/>
    </font>
    <font>
      <b/>
      <sz val="10"/>
      <color rgb="FF000000"/>
      <name val="Arial"/>
      <family val="2"/>
    </font>
    <font>
      <b/>
      <i/>
      <sz val="10"/>
      <color rgb="FF000000"/>
      <name val="Tahoma"/>
      <family val="2"/>
    </font>
    <font>
      <b/>
      <sz val="11"/>
      <name val="Calibri"/>
      <family val="2"/>
    </font>
  </fonts>
  <fills count="11">
    <fill>
      <patternFill patternType="none"/>
    </fill>
    <fill>
      <patternFill patternType="gray125"/>
    </fill>
    <fill>
      <patternFill patternType="solid">
        <fgColor theme="7" tint="0.59999389629810485"/>
        <bgColor indexed="64"/>
      </patternFill>
    </fill>
    <fill>
      <patternFill patternType="solid">
        <fgColor theme="7" tint="0.79995117038483843"/>
        <bgColor indexed="64"/>
      </patternFill>
    </fill>
    <fill>
      <patternFill patternType="solid">
        <fgColor rgb="FF92D050"/>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rgb="FFDDEBF7"/>
        <bgColor indexed="64"/>
      </patternFill>
    </fill>
    <fill>
      <patternFill patternType="solid">
        <fgColor theme="6" tint="0.79998168889431442"/>
        <bgColor indexed="64"/>
      </patternFill>
    </fill>
  </fills>
  <borders count="23">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medium">
        <color auto="1"/>
      </left>
      <right/>
      <top/>
      <bottom style="medium">
        <color rgb="FF9BC2E6"/>
      </bottom>
      <diagonal/>
    </border>
    <border>
      <left/>
      <right/>
      <top/>
      <bottom style="medium">
        <color rgb="FF9BC2E6"/>
      </bottom>
      <diagonal/>
    </border>
    <border>
      <left/>
      <right style="medium">
        <color auto="1"/>
      </right>
      <top style="medium">
        <color auto="1"/>
      </top>
      <bottom/>
      <diagonal/>
    </border>
    <border>
      <left style="medium">
        <color auto="1"/>
      </left>
      <right/>
      <top/>
      <bottom/>
      <diagonal/>
    </border>
    <border>
      <left style="medium">
        <color auto="1"/>
      </left>
      <right/>
      <top/>
      <bottom style="medium">
        <color rgb="FF5B9BD5"/>
      </bottom>
      <diagonal/>
    </border>
    <border>
      <left/>
      <right/>
      <top/>
      <bottom style="medium">
        <color rgb="FF5B9BD5"/>
      </bottom>
      <diagonal/>
    </border>
    <border>
      <left/>
      <right style="medium">
        <color auto="1"/>
      </right>
      <top style="medium">
        <color rgb="FF5B9BD5"/>
      </top>
      <bottom style="medium">
        <color rgb="FF5B9BD5"/>
      </bottom>
      <diagonal/>
    </border>
    <border>
      <left/>
      <right style="medium">
        <color auto="1"/>
      </right>
      <top/>
      <bottom style="medium">
        <color rgb="FF5B9BD5"/>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s>
  <cellStyleXfs count="43">
    <xf numFmtId="0" fontId="0" fillId="0" borderId="0">
      <alignment vertical="center"/>
    </xf>
    <xf numFmtId="165" fontId="7" fillId="0" borderId="0">
      <protection locked="0"/>
    </xf>
    <xf numFmtId="9" fontId="7" fillId="0" borderId="0">
      <protection locked="0"/>
    </xf>
    <xf numFmtId="43" fontId="55" fillId="0" borderId="0">
      <protection locked="0"/>
    </xf>
    <xf numFmtId="43" fontId="55" fillId="0" borderId="0">
      <protection locked="0"/>
    </xf>
    <xf numFmtId="43" fontId="7" fillId="0" borderId="0">
      <protection locked="0"/>
    </xf>
    <xf numFmtId="43" fontId="7" fillId="0" borderId="0">
      <protection locked="0"/>
    </xf>
    <xf numFmtId="43" fontId="7" fillId="0" borderId="0">
      <protection locked="0"/>
    </xf>
    <xf numFmtId="43" fontId="7" fillId="0" borderId="0">
      <protection locked="0"/>
    </xf>
    <xf numFmtId="43" fontId="55" fillId="0" borderId="0">
      <protection locked="0"/>
    </xf>
    <xf numFmtId="43" fontId="55" fillId="0" borderId="0">
      <protection locked="0"/>
    </xf>
    <xf numFmtId="165" fontId="7" fillId="0" borderId="0">
      <protection locked="0"/>
    </xf>
    <xf numFmtId="165" fontId="7" fillId="0" borderId="0">
      <protection locked="0"/>
    </xf>
    <xf numFmtId="43" fontId="7" fillId="0" borderId="0">
      <protection locked="0"/>
    </xf>
    <xf numFmtId="43" fontId="7" fillId="0" borderId="0">
      <protection locked="0"/>
    </xf>
    <xf numFmtId="43" fontId="7" fillId="0" borderId="0">
      <protection locked="0"/>
    </xf>
    <xf numFmtId="165" fontId="7" fillId="0" borderId="0">
      <protection locked="0"/>
    </xf>
    <xf numFmtId="43" fontId="7" fillId="0" borderId="0">
      <protection locked="0"/>
    </xf>
    <xf numFmtId="43" fontId="7" fillId="0" borderId="0">
      <protection locked="0"/>
    </xf>
    <xf numFmtId="43" fontId="7" fillId="0" borderId="0">
      <protection locked="0"/>
    </xf>
    <xf numFmtId="43" fontId="7" fillId="0" borderId="0">
      <protection locked="0"/>
    </xf>
    <xf numFmtId="43" fontId="7" fillId="0" borderId="0">
      <protection locked="0"/>
    </xf>
    <xf numFmtId="165" fontId="7" fillId="0" borderId="0">
      <protection locked="0"/>
    </xf>
    <xf numFmtId="43" fontId="7" fillId="0" borderId="0">
      <protection locked="0"/>
    </xf>
    <xf numFmtId="43" fontId="7" fillId="0" borderId="0">
      <protection locked="0"/>
    </xf>
    <xf numFmtId="165" fontId="56" fillId="0" borderId="0" applyFont="0" applyFill="0" applyBorder="0" applyAlignment="0" applyProtection="0"/>
    <xf numFmtId="165" fontId="56" fillId="0" borderId="0" applyFont="0" applyFill="0" applyBorder="0" applyAlignment="0" applyProtection="0"/>
    <xf numFmtId="43" fontId="57" fillId="0" borderId="0" applyFont="0" applyFill="0" applyBorder="0" applyAlignment="0" applyProtection="0"/>
    <xf numFmtId="0" fontId="57" fillId="0" borderId="0"/>
    <xf numFmtId="0" fontId="58" fillId="0" borderId="0">
      <protection locked="0"/>
    </xf>
    <xf numFmtId="0" fontId="58" fillId="0" borderId="0"/>
    <xf numFmtId="0" fontId="9" fillId="0" borderId="0">
      <protection locked="0"/>
    </xf>
    <xf numFmtId="0" fontId="9" fillId="0" borderId="0">
      <protection locked="0"/>
    </xf>
    <xf numFmtId="0" fontId="7" fillId="0" borderId="0">
      <protection locked="0"/>
    </xf>
    <xf numFmtId="0" fontId="7" fillId="0" borderId="0">
      <protection locked="0"/>
    </xf>
    <xf numFmtId="0" fontId="9" fillId="0" borderId="0">
      <alignment vertical="center"/>
    </xf>
    <xf numFmtId="0" fontId="9" fillId="0" borderId="0">
      <protection locked="0"/>
    </xf>
    <xf numFmtId="0" fontId="9" fillId="0" borderId="0">
      <protection locked="0"/>
    </xf>
    <xf numFmtId="0" fontId="56" fillId="0" borderId="0"/>
    <xf numFmtId="0" fontId="56" fillId="0" borderId="0"/>
    <xf numFmtId="0" fontId="56" fillId="0" borderId="0"/>
    <xf numFmtId="0" fontId="56" fillId="0" borderId="0"/>
    <xf numFmtId="9" fontId="56" fillId="0" borderId="0" applyFont="0" applyFill="0" applyBorder="0" applyAlignment="0" applyProtection="0"/>
  </cellStyleXfs>
  <cellXfs count="865">
    <xf numFmtId="0" fontId="0" fillId="0" borderId="0" xfId="0">
      <alignment vertical="center"/>
    </xf>
    <xf numFmtId="0" fontId="1" fillId="0" borderId="0" xfId="35" applyFont="1" applyFill="1" applyAlignment="1">
      <alignment vertical="top" wrapText="1"/>
    </xf>
    <xf numFmtId="0" fontId="2" fillId="0" borderId="0" xfId="35" applyFont="1" applyFill="1" applyAlignment="1">
      <alignment vertical="top"/>
    </xf>
    <xf numFmtId="0" fontId="3" fillId="0" borderId="0" xfId="35" applyFont="1" applyFill="1" applyAlignment="1">
      <alignment vertical="top"/>
    </xf>
    <xf numFmtId="0" fontId="3" fillId="0" borderId="0" xfId="35" applyFont="1" applyFill="1" applyAlignment="1">
      <alignment vertical="top" wrapText="1"/>
    </xf>
    <xf numFmtId="0" fontId="4" fillId="0" borderId="0" xfId="35" applyFont="1" applyFill="1" applyAlignment="1">
      <alignment vertical="top"/>
    </xf>
    <xf numFmtId="165" fontId="1" fillId="0" borderId="0" xfId="1" applyFont="1" applyFill="1" applyAlignment="1">
      <alignment vertical="top"/>
      <protection locked="0"/>
    </xf>
    <xf numFmtId="10" fontId="3" fillId="0" borderId="0" xfId="35" applyNumberFormat="1" applyFont="1" applyFill="1" applyAlignment="1">
      <alignment vertical="top"/>
    </xf>
    <xf numFmtId="0" fontId="5" fillId="0" borderId="0" xfId="35" applyFont="1" applyFill="1" applyAlignment="1">
      <alignment horizontal="center" vertical="top" wrapText="1"/>
    </xf>
    <xf numFmtId="0" fontId="5" fillId="0" borderId="4" xfId="34" applyFont="1" applyFill="1" applyBorder="1" applyAlignment="1" applyProtection="1">
      <alignment vertical="top" wrapText="1"/>
    </xf>
    <xf numFmtId="166" fontId="5" fillId="0" borderId="4" xfId="17" applyNumberFormat="1" applyFont="1" applyFill="1" applyBorder="1" applyAlignment="1" applyProtection="1">
      <alignment horizontal="center" vertical="top" wrapText="1"/>
    </xf>
    <xf numFmtId="166" fontId="5" fillId="0" borderId="4" xfId="17" applyNumberFormat="1" applyFont="1" applyFill="1" applyBorder="1" applyAlignment="1" applyProtection="1">
      <alignment horizontal="left" vertical="top" wrapText="1"/>
    </xf>
    <xf numFmtId="0" fontId="1" fillId="0" borderId="4" xfId="34" applyFont="1" applyFill="1" applyBorder="1" applyAlignment="1" applyProtection="1">
      <alignment horizontal="right" vertical="top" wrapText="1"/>
    </xf>
    <xf numFmtId="0" fontId="1" fillId="0" borderId="4" xfId="34" applyFont="1" applyFill="1" applyBorder="1" applyAlignment="1" applyProtection="1">
      <alignment vertical="top" wrapText="1"/>
    </xf>
    <xf numFmtId="166" fontId="1" fillId="0" borderId="4" xfId="17" applyNumberFormat="1" applyFont="1" applyFill="1" applyBorder="1" applyAlignment="1" applyProtection="1">
      <alignment horizontal="right" vertical="top" wrapText="1"/>
    </xf>
    <xf numFmtId="0" fontId="5" fillId="0" borderId="4" xfId="34" applyFont="1" applyFill="1" applyBorder="1" applyAlignment="1" applyProtection="1">
      <alignment horizontal="right" vertical="top" wrapText="1"/>
    </xf>
    <xf numFmtId="0" fontId="2" fillId="0" borderId="4" xfId="34" applyFont="1" applyFill="1" applyBorder="1" applyAlignment="1" applyProtection="1">
      <alignment vertical="top" wrapText="1"/>
    </xf>
    <xf numFmtId="166" fontId="5" fillId="0" borderId="4" xfId="17" applyNumberFormat="1" applyFont="1" applyFill="1" applyBorder="1" applyAlignment="1" applyProtection="1">
      <alignment horizontal="right" vertical="top" wrapText="1"/>
    </xf>
    <xf numFmtId="0" fontId="3" fillId="0" borderId="4" xfId="34" applyFont="1" applyFill="1" applyBorder="1" applyAlignment="1" applyProtection="1">
      <alignment vertical="top" wrapText="1"/>
    </xf>
    <xf numFmtId="166" fontId="1" fillId="0" borderId="4" xfId="17" applyNumberFormat="1" applyFont="1" applyFill="1" applyBorder="1" applyAlignment="1" applyProtection="1">
      <alignment vertical="top" wrapText="1"/>
    </xf>
    <xf numFmtId="166" fontId="4" fillId="0" borderId="4" xfId="17" applyNumberFormat="1" applyFont="1" applyFill="1" applyBorder="1" applyAlignment="1" applyProtection="1">
      <alignment horizontal="right" vertical="top" wrapText="1"/>
    </xf>
    <xf numFmtId="167" fontId="1" fillId="0" borderId="4" xfId="17" applyNumberFormat="1" applyFont="1" applyFill="1" applyBorder="1" applyAlignment="1" applyProtection="1">
      <alignment horizontal="center" vertical="top" wrapText="1"/>
    </xf>
    <xf numFmtId="166" fontId="2" fillId="0" borderId="4" xfId="17" applyNumberFormat="1" applyFont="1" applyFill="1" applyBorder="1" applyAlignment="1" applyProtection="1">
      <alignment horizontal="right" vertical="top" wrapText="1"/>
    </xf>
    <xf numFmtId="166" fontId="2" fillId="0" borderId="4" xfId="34" applyNumberFormat="1" applyFont="1" applyFill="1" applyBorder="1" applyAlignment="1" applyProtection="1">
      <alignment vertical="top" wrapText="1"/>
    </xf>
    <xf numFmtId="0" fontId="5" fillId="0" borderId="4" xfId="34" applyFont="1" applyFill="1" applyBorder="1" applyAlignment="1" applyProtection="1">
      <alignment horizontal="left" vertical="top" wrapText="1"/>
    </xf>
    <xf numFmtId="166" fontId="5" fillId="0" borderId="4" xfId="17" applyNumberFormat="1" applyFont="1" applyFill="1" applyBorder="1" applyAlignment="1" applyProtection="1">
      <alignment vertical="top" wrapText="1"/>
    </xf>
    <xf numFmtId="166" fontId="4" fillId="0" borderId="4" xfId="17" applyNumberFormat="1" applyFont="1" applyFill="1" applyBorder="1" applyAlignment="1" applyProtection="1">
      <alignment vertical="top" wrapText="1"/>
    </xf>
    <xf numFmtId="166" fontId="5" fillId="0" borderId="4" xfId="1" applyNumberFormat="1" applyFont="1" applyFill="1" applyBorder="1" applyAlignment="1" applyProtection="1">
      <alignment vertical="top"/>
    </xf>
    <xf numFmtId="166" fontId="6" fillId="0" borderId="4" xfId="17" applyNumberFormat="1" applyFont="1" applyFill="1" applyBorder="1" applyAlignment="1" applyProtection="1">
      <alignment vertical="top" wrapText="1"/>
    </xf>
    <xf numFmtId="9" fontId="1" fillId="0" borderId="4" xfId="17" applyNumberFormat="1" applyFont="1" applyFill="1" applyBorder="1" applyAlignment="1" applyProtection="1">
      <alignment horizontal="right" vertical="top" wrapText="1"/>
    </xf>
    <xf numFmtId="168" fontId="1" fillId="0" borderId="4" xfId="17" applyNumberFormat="1" applyFont="1" applyFill="1" applyBorder="1" applyAlignment="1" applyProtection="1">
      <alignment horizontal="right" vertical="top" wrapText="1"/>
    </xf>
    <xf numFmtId="166" fontId="1" fillId="0" borderId="0" xfId="1" applyNumberFormat="1" applyFont="1" applyFill="1" applyAlignment="1">
      <alignment vertical="top"/>
      <protection locked="0"/>
    </xf>
    <xf numFmtId="0" fontId="5" fillId="0" borderId="0" xfId="34" applyFont="1" applyFill="1" applyAlignment="1" applyProtection="1">
      <alignment horizontal="center" vertical="top" wrapText="1"/>
    </xf>
    <xf numFmtId="166" fontId="4" fillId="0" borderId="0" xfId="35" applyNumberFormat="1" applyFont="1" applyFill="1" applyAlignment="1">
      <alignment vertical="top" wrapText="1"/>
    </xf>
    <xf numFmtId="165" fontId="5" fillId="0" borderId="0" xfId="1" applyFont="1" applyFill="1" applyAlignment="1">
      <alignment vertical="top"/>
      <protection locked="0"/>
    </xf>
    <xf numFmtId="166" fontId="6" fillId="0" borderId="4" xfId="17" applyNumberFormat="1" applyFont="1" applyFill="1" applyBorder="1" applyAlignment="1" applyProtection="1">
      <alignment horizontal="right" vertical="top"/>
    </xf>
    <xf numFmtId="168" fontId="7" fillId="0" borderId="0" xfId="2" applyNumberFormat="1" applyFill="1">
      <protection locked="0"/>
    </xf>
    <xf numFmtId="166" fontId="6" fillId="0" borderId="4" xfId="17" applyNumberFormat="1" applyFont="1" applyFill="1" applyBorder="1" applyAlignment="1" applyProtection="1">
      <alignment horizontal="right" vertical="top" wrapText="1"/>
    </xf>
    <xf numFmtId="43" fontId="3" fillId="0" borderId="0" xfId="35" applyNumberFormat="1" applyFont="1" applyFill="1" applyAlignment="1">
      <alignment vertical="top"/>
    </xf>
    <xf numFmtId="10" fontId="5" fillId="0" borderId="0" xfId="35" applyNumberFormat="1" applyFont="1" applyFill="1" applyAlignment="1">
      <alignment horizontal="center" vertical="top" wrapText="1"/>
    </xf>
    <xf numFmtId="10" fontId="5" fillId="0" borderId="0" xfId="34" applyNumberFormat="1" applyFont="1" applyFill="1" applyAlignment="1" applyProtection="1">
      <alignment horizontal="center" vertical="top" wrapText="1"/>
    </xf>
    <xf numFmtId="10" fontId="1" fillId="0" borderId="0" xfId="35" applyNumberFormat="1" applyFont="1" applyFill="1" applyAlignment="1">
      <alignment vertical="top" wrapText="1"/>
    </xf>
    <xf numFmtId="10" fontId="5" fillId="0" borderId="4" xfId="17" applyNumberFormat="1" applyFont="1" applyFill="1" applyBorder="1" applyAlignment="1" applyProtection="1">
      <alignment horizontal="center" vertical="top" wrapText="1"/>
    </xf>
    <xf numFmtId="10" fontId="1" fillId="0" borderId="4" xfId="17" applyNumberFormat="1" applyFont="1" applyFill="1" applyBorder="1" applyAlignment="1" applyProtection="1">
      <alignment horizontal="right" vertical="top" wrapText="1"/>
    </xf>
    <xf numFmtId="10" fontId="6" fillId="0" borderId="4" xfId="17" applyNumberFormat="1" applyFont="1" applyFill="1" applyBorder="1" applyAlignment="1" applyProtection="1">
      <alignment horizontal="right" vertical="top" wrapText="1"/>
    </xf>
    <xf numFmtId="10" fontId="1" fillId="0" borderId="4" xfId="17" applyNumberFormat="1" applyFont="1" applyFill="1" applyBorder="1" applyAlignment="1" applyProtection="1">
      <alignment vertical="top" wrapText="1"/>
    </xf>
    <xf numFmtId="166" fontId="7" fillId="0" borderId="0" xfId="1" applyNumberFormat="1" applyFill="1">
      <protection locked="0"/>
    </xf>
    <xf numFmtId="166" fontId="3" fillId="0" borderId="0" xfId="35" applyNumberFormat="1" applyFont="1" applyFill="1" applyAlignment="1">
      <alignment vertical="top"/>
    </xf>
    <xf numFmtId="10" fontId="6" fillId="0" borderId="4" xfId="17" applyNumberFormat="1" applyFont="1" applyFill="1" applyBorder="1" applyAlignment="1" applyProtection="1">
      <alignment horizontal="right" vertical="top"/>
    </xf>
    <xf numFmtId="10" fontId="5" fillId="0" borderId="4" xfId="17" applyNumberFormat="1" applyFont="1" applyFill="1" applyBorder="1" applyAlignment="1" applyProtection="1">
      <alignment vertical="top" wrapText="1"/>
    </xf>
    <xf numFmtId="10" fontId="4" fillId="0" borderId="4" xfId="17" applyNumberFormat="1" applyFont="1" applyFill="1" applyBorder="1" applyAlignment="1" applyProtection="1">
      <alignment vertical="top" wrapText="1"/>
    </xf>
    <xf numFmtId="10" fontId="4" fillId="0" borderId="4" xfId="17" applyNumberFormat="1" applyFont="1" applyFill="1" applyBorder="1" applyAlignment="1" applyProtection="1">
      <alignment horizontal="right" vertical="top" wrapText="1"/>
    </xf>
    <xf numFmtId="10" fontId="6" fillId="0" borderId="4" xfId="17" applyNumberFormat="1" applyFont="1" applyFill="1" applyBorder="1" applyAlignment="1" applyProtection="1">
      <alignment vertical="top" wrapText="1"/>
    </xf>
    <xf numFmtId="169" fontId="5" fillId="0" borderId="4" xfId="1" applyNumberFormat="1" applyFont="1" applyFill="1" applyBorder="1" applyAlignment="1">
      <alignment vertical="top"/>
      <protection locked="0"/>
    </xf>
    <xf numFmtId="166" fontId="1" fillId="0" borderId="0" xfId="1" applyNumberFormat="1" applyFont="1" applyFill="1" applyAlignment="1" applyProtection="1">
      <alignment vertical="top" wrapText="1"/>
    </xf>
    <xf numFmtId="166" fontId="8" fillId="0" borderId="4" xfId="0" applyNumberFormat="1" applyFont="1" applyFill="1" applyBorder="1">
      <alignment vertical="center"/>
    </xf>
    <xf numFmtId="10" fontId="5" fillId="0" borderId="4" xfId="17" applyNumberFormat="1" applyFont="1" applyFill="1" applyBorder="1" applyAlignment="1" applyProtection="1">
      <alignment horizontal="right" vertical="top" wrapText="1"/>
    </xf>
    <xf numFmtId="10" fontId="1" fillId="0" borderId="0" xfId="1" applyNumberFormat="1" applyFont="1" applyFill="1" applyAlignment="1" applyProtection="1">
      <alignment vertical="top" wrapText="1"/>
    </xf>
    <xf numFmtId="0" fontId="9" fillId="0" borderId="0" xfId="0" applyFont="1" applyAlignment="1">
      <alignment vertical="top" wrapText="1"/>
    </xf>
    <xf numFmtId="0" fontId="9" fillId="0" borderId="0" xfId="0" applyFont="1" applyAlignment="1">
      <alignment vertical="top"/>
    </xf>
    <xf numFmtId="0" fontId="10" fillId="0" borderId="0" xfId="0" applyFont="1" applyAlignment="1">
      <alignment vertical="top" wrapText="1"/>
    </xf>
    <xf numFmtId="0" fontId="12" fillId="0" borderId="4" xfId="0" applyFont="1" applyBorder="1" applyAlignment="1">
      <alignment horizontal="center" vertical="top" wrapText="1"/>
    </xf>
    <xf numFmtId="0" fontId="13" fillId="0" borderId="4" xfId="0" applyFont="1" applyBorder="1" applyAlignment="1">
      <alignment vertical="top" wrapText="1"/>
    </xf>
    <xf numFmtId="166" fontId="14" fillId="0" borderId="4" xfId="1" applyNumberFormat="1" applyFont="1" applyBorder="1" applyAlignment="1" applyProtection="1">
      <alignment vertical="top"/>
    </xf>
    <xf numFmtId="166" fontId="7" fillId="0" borderId="0" xfId="0" applyNumberFormat="1" applyFont="1" applyAlignment="1">
      <alignment vertical="top"/>
    </xf>
    <xf numFmtId="0" fontId="14" fillId="0" borderId="4" xfId="0" applyFont="1" applyBorder="1" applyAlignment="1">
      <alignment vertical="top" wrapText="1"/>
    </xf>
    <xf numFmtId="0" fontId="12" fillId="0" borderId="4" xfId="0" applyFont="1" applyBorder="1" applyAlignment="1">
      <alignment vertical="top" wrapText="1"/>
    </xf>
    <xf numFmtId="166" fontId="12" fillId="0" borderId="4" xfId="1" applyNumberFormat="1" applyFont="1" applyBorder="1" applyAlignment="1" applyProtection="1">
      <alignment vertical="top"/>
    </xf>
    <xf numFmtId="9" fontId="14" fillId="0" borderId="4" xfId="2" applyFont="1" applyBorder="1" applyAlignment="1" applyProtection="1">
      <alignment vertical="top"/>
    </xf>
    <xf numFmtId="9" fontId="7" fillId="0" borderId="4" xfId="2" applyBorder="1">
      <protection locked="0"/>
    </xf>
    <xf numFmtId="166" fontId="9" fillId="0" borderId="0" xfId="0" applyNumberFormat="1" applyFont="1" applyAlignment="1">
      <alignment vertical="top"/>
    </xf>
    <xf numFmtId="0" fontId="5" fillId="0" borderId="0" xfId="0" applyFont="1" applyAlignment="1">
      <alignment vertical="top"/>
    </xf>
    <xf numFmtId="9" fontId="5" fillId="0" borderId="0" xfId="1" applyNumberFormat="1" applyFont="1" applyAlignment="1">
      <alignment vertical="top"/>
      <protection locked="0"/>
    </xf>
    <xf numFmtId="0" fontId="1" fillId="0" borderId="0" xfId="0" applyFont="1" applyAlignment="1">
      <alignment horizontal="left" vertical="top"/>
    </xf>
    <xf numFmtId="166" fontId="1" fillId="0" borderId="0" xfId="1" applyNumberFormat="1" applyFont="1" applyAlignment="1" applyProtection="1">
      <alignment vertical="top"/>
    </xf>
    <xf numFmtId="0" fontId="1" fillId="0" borderId="0" xfId="0" applyFont="1" applyAlignment="1">
      <alignment vertical="top"/>
    </xf>
    <xf numFmtId="165" fontId="1" fillId="0" borderId="0" xfId="1" applyFont="1" applyAlignment="1">
      <alignment vertical="top"/>
      <protection locked="0"/>
    </xf>
    <xf numFmtId="166" fontId="1" fillId="0" borderId="0" xfId="1" applyNumberFormat="1" applyFont="1" applyAlignment="1">
      <alignment vertical="top"/>
      <protection locked="0"/>
    </xf>
    <xf numFmtId="165" fontId="15" fillId="0" borderId="0" xfId="1" applyFont="1" applyAlignment="1">
      <alignment vertical="top"/>
      <protection locked="0"/>
    </xf>
    <xf numFmtId="166" fontId="5" fillId="0" borderId="4" xfId="1" applyNumberFormat="1" applyFont="1" applyBorder="1" applyAlignment="1" applyProtection="1">
      <alignment horizontal="center" vertical="top" wrapText="1"/>
    </xf>
    <xf numFmtId="166" fontId="1" fillId="0" borderId="4" xfId="1" applyNumberFormat="1" applyFont="1" applyBorder="1" applyAlignment="1" applyProtection="1">
      <alignment horizontal="left" vertical="top" wrapText="1"/>
    </xf>
    <xf numFmtId="166" fontId="1" fillId="0" borderId="4" xfId="1" applyNumberFormat="1" applyFont="1" applyBorder="1" applyAlignment="1" applyProtection="1">
      <alignment horizontal="right" vertical="top" wrapText="1"/>
    </xf>
    <xf numFmtId="168" fontId="1" fillId="0" borderId="4" xfId="2" applyNumberFormat="1" applyFont="1" applyBorder="1" applyAlignment="1" applyProtection="1">
      <alignment vertical="top" wrapText="1"/>
    </xf>
    <xf numFmtId="166" fontId="1" fillId="0" borderId="4" xfId="1" applyNumberFormat="1" applyFont="1" applyBorder="1" applyAlignment="1" applyProtection="1">
      <alignment vertical="top" wrapText="1"/>
    </xf>
    <xf numFmtId="166" fontId="5" fillId="0" borderId="4" xfId="1" applyNumberFormat="1" applyFont="1" applyBorder="1" applyAlignment="1" applyProtection="1">
      <alignment horizontal="left" vertical="top" wrapText="1"/>
    </xf>
    <xf numFmtId="166" fontId="5" fillId="0" borderId="4" xfId="1" applyNumberFormat="1" applyFont="1" applyBorder="1" applyAlignment="1" applyProtection="1">
      <alignment horizontal="right" vertical="top" wrapText="1"/>
    </xf>
    <xf numFmtId="168" fontId="5" fillId="0" borderId="4" xfId="2" applyNumberFormat="1" applyFont="1" applyBorder="1" applyAlignment="1">
      <alignment vertical="top"/>
      <protection locked="0"/>
    </xf>
    <xf numFmtId="9" fontId="5" fillId="0" borderId="0" xfId="1" applyNumberFormat="1" applyFont="1" applyAlignment="1">
      <alignment horizontal="left" vertical="top"/>
      <protection locked="0"/>
    </xf>
    <xf numFmtId="10" fontId="5" fillId="0" borderId="0" xfId="2" applyNumberFormat="1" applyFont="1" applyAlignment="1">
      <alignment vertical="top"/>
      <protection locked="0"/>
    </xf>
    <xf numFmtId="0" fontId="1" fillId="2" borderId="0" xfId="0" applyFont="1" applyFill="1" applyAlignment="1">
      <alignment horizontal="left" vertical="top"/>
    </xf>
    <xf numFmtId="166" fontId="1" fillId="2" borderId="0" xfId="1" applyNumberFormat="1" applyFont="1" applyFill="1" applyAlignment="1" applyProtection="1">
      <alignment vertical="top"/>
    </xf>
    <xf numFmtId="0" fontId="1" fillId="2" borderId="0" xfId="0" applyFont="1" applyFill="1" applyAlignment="1">
      <alignment vertical="top"/>
    </xf>
    <xf numFmtId="166" fontId="15" fillId="0" borderId="0" xfId="1" applyNumberFormat="1" applyFont="1" applyAlignment="1">
      <alignment vertical="top"/>
      <protection locked="0"/>
    </xf>
    <xf numFmtId="166" fontId="1" fillId="0" borderId="0" xfId="0" applyNumberFormat="1" applyFont="1" applyAlignment="1">
      <alignment vertical="top"/>
    </xf>
    <xf numFmtId="0" fontId="1" fillId="3" borderId="0" xfId="0" applyFont="1" applyFill="1" applyAlignment="1">
      <alignment horizontal="left" vertical="top"/>
    </xf>
    <xf numFmtId="166" fontId="1" fillId="3" borderId="0" xfId="1" applyNumberFormat="1" applyFont="1" applyFill="1" applyAlignment="1">
      <alignment vertical="top"/>
      <protection locked="0"/>
    </xf>
    <xf numFmtId="166" fontId="1" fillId="3" borderId="0" xfId="1" applyNumberFormat="1" applyFont="1" applyFill="1" applyAlignment="1" applyProtection="1">
      <alignment vertical="top"/>
    </xf>
    <xf numFmtId="166" fontId="1" fillId="4" borderId="0" xfId="1" applyNumberFormat="1" applyFont="1" applyFill="1" applyAlignment="1" applyProtection="1">
      <alignment vertical="top"/>
    </xf>
    <xf numFmtId="165" fontId="1" fillId="0" borderId="4" xfId="1" applyFont="1" applyBorder="1" applyAlignment="1">
      <alignment vertical="top"/>
      <protection locked="0"/>
    </xf>
    <xf numFmtId="0" fontId="1" fillId="0" borderId="4" xfId="0" applyFont="1" applyBorder="1" applyAlignment="1">
      <alignment vertical="top"/>
    </xf>
    <xf numFmtId="166" fontId="1" fillId="0" borderId="4" xfId="0" applyNumberFormat="1" applyFont="1" applyBorder="1" applyAlignment="1">
      <alignment vertical="top"/>
    </xf>
    <xf numFmtId="166" fontId="5" fillId="0" borderId="0" xfId="1" applyNumberFormat="1" applyFont="1" applyAlignment="1">
      <alignment vertical="top"/>
      <protection locked="0"/>
    </xf>
    <xf numFmtId="165" fontId="5" fillId="0" borderId="4" xfId="1" applyFont="1" applyBorder="1" applyAlignment="1">
      <alignment vertical="top"/>
      <protection locked="0"/>
    </xf>
    <xf numFmtId="165" fontId="5" fillId="0" borderId="4" xfId="0" applyNumberFormat="1" applyFont="1" applyBorder="1" applyAlignment="1">
      <alignment vertical="top"/>
    </xf>
    <xf numFmtId="0" fontId="5" fillId="0" borderId="4" xfId="0" applyFont="1" applyBorder="1" applyAlignment="1">
      <alignment vertical="top"/>
    </xf>
    <xf numFmtId="168" fontId="1" fillId="0" borderId="0" xfId="2" applyNumberFormat="1" applyFont="1" applyAlignment="1">
      <alignment vertical="top"/>
      <protection locked="0"/>
    </xf>
    <xf numFmtId="166" fontId="1" fillId="5" borderId="0" xfId="1" applyNumberFormat="1" applyFont="1" applyFill="1" applyAlignment="1">
      <alignment vertical="top"/>
      <protection locked="0"/>
    </xf>
    <xf numFmtId="166" fontId="1" fillId="6" borderId="0" xfId="1" applyNumberFormat="1" applyFont="1" applyFill="1" applyAlignment="1">
      <alignment vertical="top"/>
      <protection locked="0"/>
    </xf>
    <xf numFmtId="43" fontId="1" fillId="0" borderId="0" xfId="0" applyNumberFormat="1" applyFont="1" applyAlignment="1">
      <alignment vertical="top"/>
    </xf>
    <xf numFmtId="166" fontId="1" fillId="7" borderId="0" xfId="0" applyNumberFormat="1" applyFont="1" applyFill="1" applyAlignment="1">
      <alignment vertical="top"/>
    </xf>
    <xf numFmtId="166" fontId="1" fillId="8" borderId="0" xfId="1" applyNumberFormat="1" applyFont="1" applyFill="1" applyAlignment="1">
      <alignment vertical="top"/>
      <protection locked="0"/>
    </xf>
    <xf numFmtId="166" fontId="1" fillId="4" borderId="0" xfId="1" applyNumberFormat="1" applyFont="1" applyFill="1" applyAlignment="1">
      <alignment vertical="top"/>
      <protection locked="0"/>
    </xf>
    <xf numFmtId="165" fontId="5" fillId="0" borderId="0" xfId="1" applyFont="1" applyAlignment="1">
      <alignment vertical="top"/>
      <protection locked="0"/>
    </xf>
    <xf numFmtId="43" fontId="5" fillId="0" borderId="0" xfId="0" applyNumberFormat="1" applyFont="1" applyAlignment="1">
      <alignment vertical="top"/>
    </xf>
    <xf numFmtId="165" fontId="15" fillId="0" borderId="0" xfId="1" applyFont="1" applyAlignment="1">
      <alignment vertical="top"/>
      <protection locked="0"/>
    </xf>
    <xf numFmtId="165" fontId="1" fillId="7" borderId="0" xfId="1" applyFont="1" applyFill="1" applyAlignment="1">
      <alignment vertical="top"/>
      <protection locked="0"/>
    </xf>
    <xf numFmtId="165" fontId="16" fillId="0" borderId="0" xfId="1" applyFont="1" applyAlignment="1">
      <alignment vertical="top"/>
      <protection locked="0"/>
    </xf>
    <xf numFmtId="0" fontId="17" fillId="9" borderId="5" xfId="0" applyFont="1" applyFill="1" applyBorder="1" applyAlignment="1">
      <alignment vertical="top"/>
    </xf>
    <xf numFmtId="0" fontId="17" fillId="9" borderId="6" xfId="0" applyFont="1" applyFill="1" applyBorder="1" applyAlignment="1">
      <alignment vertical="top"/>
    </xf>
    <xf numFmtId="0" fontId="17" fillId="9" borderId="7" xfId="0" applyFont="1" applyFill="1" applyBorder="1" applyAlignment="1">
      <alignment vertical="top"/>
    </xf>
    <xf numFmtId="0" fontId="18" fillId="0" borderId="8" xfId="0" applyFont="1" applyBorder="1" applyAlignment="1">
      <alignment vertical="top"/>
    </xf>
    <xf numFmtId="3" fontId="18" fillId="0" borderId="9" xfId="0" applyNumberFormat="1" applyFont="1" applyBorder="1" applyAlignment="1">
      <alignment horizontal="right" vertical="top"/>
    </xf>
    <xf numFmtId="3" fontId="18" fillId="0" borderId="10" xfId="0" applyNumberFormat="1" applyFont="1" applyBorder="1" applyAlignment="1">
      <alignment horizontal="right" vertical="top"/>
    </xf>
    <xf numFmtId="3" fontId="18" fillId="0" borderId="11" xfId="0" applyNumberFormat="1" applyFont="1" applyBorder="1" applyAlignment="1">
      <alignment horizontal="right" vertical="top"/>
    </xf>
    <xf numFmtId="3" fontId="18" fillId="0" borderId="12" xfId="0" applyNumberFormat="1" applyFont="1" applyBorder="1" applyAlignment="1">
      <alignment horizontal="right" vertical="top"/>
    </xf>
    <xf numFmtId="0" fontId="19" fillId="0" borderId="0" xfId="0" applyFont="1" applyAlignment="1">
      <alignment vertical="top"/>
    </xf>
    <xf numFmtId="9" fontId="19" fillId="0" borderId="0" xfId="1" applyNumberFormat="1" applyFont="1">
      <protection locked="0"/>
    </xf>
    <xf numFmtId="0" fontId="20" fillId="0" borderId="0" xfId="0" applyFont="1" applyAlignment="1">
      <alignment horizontal="left" vertical="top"/>
    </xf>
    <xf numFmtId="166" fontId="20" fillId="0" borderId="0" xfId="1" applyNumberFormat="1" applyFont="1" applyAlignment="1" applyProtection="1">
      <alignment vertical="top"/>
    </xf>
    <xf numFmtId="0" fontId="20" fillId="0" borderId="0" xfId="0" applyFont="1" applyAlignment="1">
      <alignment vertical="top"/>
    </xf>
    <xf numFmtId="165" fontId="20" fillId="0" borderId="0" xfId="1" applyFont="1">
      <protection locked="0"/>
    </xf>
    <xf numFmtId="166" fontId="20" fillId="0" borderId="0" xfId="1" applyNumberFormat="1" applyFont="1">
      <protection locked="0"/>
    </xf>
    <xf numFmtId="165" fontId="7" fillId="0" borderId="0" xfId="1">
      <protection locked="0"/>
    </xf>
    <xf numFmtId="0" fontId="19" fillId="0" borderId="4" xfId="0" applyFont="1" applyBorder="1" applyAlignment="1">
      <alignment horizontal="center" vertical="top" wrapText="1"/>
    </xf>
    <xf numFmtId="166" fontId="19" fillId="0" borderId="4" xfId="1" applyNumberFormat="1" applyFont="1" applyBorder="1" applyAlignment="1" applyProtection="1">
      <alignment horizontal="center" vertical="top" wrapText="1"/>
    </xf>
    <xf numFmtId="166" fontId="20" fillId="0" borderId="4" xfId="1" applyNumberFormat="1" applyFont="1" applyBorder="1" applyAlignment="1" applyProtection="1">
      <alignment horizontal="left" vertical="top" wrapText="1"/>
    </xf>
    <xf numFmtId="166" fontId="20" fillId="0" borderId="4" xfId="1" applyNumberFormat="1" applyFont="1" applyBorder="1" applyAlignment="1" applyProtection="1">
      <alignment horizontal="right" vertical="top" wrapText="1"/>
    </xf>
    <xf numFmtId="168" fontId="20" fillId="0" borderId="4" xfId="2" applyNumberFormat="1" applyFont="1" applyBorder="1" applyAlignment="1" applyProtection="1">
      <alignment vertical="top" wrapText="1"/>
    </xf>
    <xf numFmtId="166" fontId="20" fillId="0" borderId="4" xfId="2" applyNumberFormat="1" applyFont="1" applyBorder="1" applyAlignment="1" applyProtection="1">
      <alignment vertical="top" wrapText="1"/>
    </xf>
    <xf numFmtId="166" fontId="20" fillId="0" borderId="4" xfId="1" applyNumberFormat="1" applyFont="1" applyBorder="1" applyAlignment="1" applyProtection="1">
      <alignment vertical="top" wrapText="1"/>
    </xf>
    <xf numFmtId="166" fontId="19" fillId="0" borderId="4" xfId="1" applyNumberFormat="1" applyFont="1" applyBorder="1" applyAlignment="1" applyProtection="1">
      <alignment horizontal="left" vertical="top" wrapText="1"/>
    </xf>
    <xf numFmtId="166" fontId="19" fillId="0" borderId="4" xfId="1" applyNumberFormat="1" applyFont="1" applyBorder="1" applyAlignment="1" applyProtection="1">
      <alignment horizontal="right" vertical="top" wrapText="1"/>
    </xf>
    <xf numFmtId="168" fontId="19" fillId="0" borderId="4" xfId="2" applyNumberFormat="1" applyFont="1" applyBorder="1">
      <protection locked="0"/>
    </xf>
    <xf numFmtId="9" fontId="19" fillId="0" borderId="0" xfId="1" applyNumberFormat="1" applyFont="1" applyAlignment="1">
      <alignment horizontal="left"/>
      <protection locked="0"/>
    </xf>
    <xf numFmtId="10" fontId="19" fillId="0" borderId="0" xfId="2" applyNumberFormat="1" applyFont="1">
      <protection locked="0"/>
    </xf>
    <xf numFmtId="0" fontId="20" fillId="2" borderId="0" xfId="0" applyFont="1" applyFill="1" applyAlignment="1">
      <alignment horizontal="left" vertical="top"/>
    </xf>
    <xf numFmtId="166" fontId="20" fillId="2" borderId="0" xfId="1" applyNumberFormat="1" applyFont="1" applyFill="1" applyAlignment="1" applyProtection="1">
      <alignment vertical="top"/>
    </xf>
    <xf numFmtId="0" fontId="20" fillId="2" borderId="0" xfId="0" applyFont="1" applyFill="1" applyAlignment="1">
      <alignment vertical="top"/>
    </xf>
    <xf numFmtId="166" fontId="7" fillId="0" borderId="0" xfId="1" applyNumberFormat="1">
      <protection locked="0"/>
    </xf>
    <xf numFmtId="166" fontId="20" fillId="0" borderId="0" xfId="0" applyNumberFormat="1" applyFont="1" applyAlignment="1">
      <alignment vertical="top"/>
    </xf>
    <xf numFmtId="0" fontId="20" fillId="3" borderId="0" xfId="0" applyFont="1" applyFill="1" applyAlignment="1">
      <alignment horizontal="left" vertical="top"/>
    </xf>
    <xf numFmtId="166" fontId="20" fillId="3" borderId="0" xfId="1" applyNumberFormat="1" applyFont="1" applyFill="1">
      <protection locked="0"/>
    </xf>
    <xf numFmtId="166" fontId="20" fillId="3" borderId="0" xfId="1" applyNumberFormat="1" applyFont="1" applyFill="1" applyAlignment="1" applyProtection="1">
      <alignment vertical="top"/>
    </xf>
    <xf numFmtId="166" fontId="20" fillId="4" borderId="0" xfId="1" applyNumberFormat="1" applyFont="1" applyFill="1" applyAlignment="1" applyProtection="1">
      <alignment vertical="top"/>
    </xf>
    <xf numFmtId="165" fontId="20" fillId="0" borderId="4" xfId="1" applyFont="1" applyBorder="1">
      <protection locked="0"/>
    </xf>
    <xf numFmtId="0" fontId="20" fillId="0" borderId="4" xfId="0" applyFont="1" applyBorder="1" applyAlignment="1">
      <alignment vertical="top"/>
    </xf>
    <xf numFmtId="166" fontId="20" fillId="0" borderId="4" xfId="0" applyNumberFormat="1" applyFont="1" applyBorder="1" applyAlignment="1">
      <alignment vertical="top"/>
    </xf>
    <xf numFmtId="166" fontId="19" fillId="0" borderId="0" xfId="1" applyNumberFormat="1" applyFont="1">
      <protection locked="0"/>
    </xf>
    <xf numFmtId="165" fontId="19" fillId="0" borderId="4" xfId="1" applyFont="1" applyBorder="1">
      <protection locked="0"/>
    </xf>
    <xf numFmtId="165" fontId="19" fillId="0" borderId="4" xfId="0" applyNumberFormat="1" applyFont="1" applyBorder="1" applyAlignment="1">
      <alignment vertical="top"/>
    </xf>
    <xf numFmtId="0" fontId="19" fillId="0" borderId="4" xfId="0" applyFont="1" applyBorder="1" applyAlignment="1">
      <alignment vertical="top"/>
    </xf>
    <xf numFmtId="168" fontId="20" fillId="0" borderId="0" xfId="2" applyNumberFormat="1" applyFont="1">
      <protection locked="0"/>
    </xf>
    <xf numFmtId="166" fontId="20" fillId="5" borderId="0" xfId="1" applyNumberFormat="1" applyFont="1" applyFill="1">
      <protection locked="0"/>
    </xf>
    <xf numFmtId="166" fontId="20" fillId="6" borderId="0" xfId="1" applyNumberFormat="1" applyFont="1" applyFill="1">
      <protection locked="0"/>
    </xf>
    <xf numFmtId="43" fontId="20" fillId="0" borderId="0" xfId="0" applyNumberFormat="1" applyFont="1" applyAlignment="1">
      <alignment vertical="top"/>
    </xf>
    <xf numFmtId="166" fontId="20" fillId="7" borderId="0" xfId="0" applyNumberFormat="1" applyFont="1" applyFill="1" applyAlignment="1">
      <alignment vertical="top"/>
    </xf>
    <xf numFmtId="166" fontId="20" fillId="8" borderId="0" xfId="1" applyNumberFormat="1" applyFont="1" applyFill="1">
      <protection locked="0"/>
    </xf>
    <xf numFmtId="166" fontId="20" fillId="4" borderId="0" xfId="1" applyNumberFormat="1" applyFont="1" applyFill="1">
      <protection locked="0"/>
    </xf>
    <xf numFmtId="165" fontId="19" fillId="0" borderId="0" xfId="1" applyFont="1">
      <protection locked="0"/>
    </xf>
    <xf numFmtId="43" fontId="19" fillId="0" borderId="0" xfId="0" applyNumberFormat="1" applyFont="1" applyAlignment="1">
      <alignment vertical="top"/>
    </xf>
    <xf numFmtId="165" fontId="20" fillId="7" borderId="0" xfId="1" applyFont="1" applyFill="1">
      <protection locked="0"/>
    </xf>
    <xf numFmtId="165" fontId="21" fillId="0" borderId="0" xfId="1" applyFont="1">
      <protection locked="0"/>
    </xf>
    <xf numFmtId="0" fontId="22" fillId="0" borderId="0" xfId="0" applyFont="1" applyAlignment="1">
      <alignment horizontal="center" vertical="top" wrapText="1"/>
    </xf>
    <xf numFmtId="0" fontId="23" fillId="0" borderId="0" xfId="0" applyFont="1" applyAlignment="1">
      <alignment vertical="top" wrapText="1"/>
    </xf>
    <xf numFmtId="0" fontId="22" fillId="0" borderId="0" xfId="0" applyFont="1" applyAlignment="1">
      <alignment horizontal="left" vertical="top" wrapText="1"/>
    </xf>
    <xf numFmtId="0" fontId="22" fillId="0" borderId="0" xfId="0" applyFont="1" applyAlignment="1">
      <alignment vertical="top" wrapText="1"/>
    </xf>
    <xf numFmtId="0" fontId="11" fillId="0" borderId="4" xfId="0" applyFont="1" applyBorder="1" applyAlignment="1">
      <alignment horizontal="center" vertical="top" wrapText="1"/>
    </xf>
    <xf numFmtId="0" fontId="11" fillId="0" borderId="4" xfId="0" applyFont="1" applyBorder="1" applyAlignment="1">
      <alignment vertical="top" wrapText="1"/>
    </xf>
    <xf numFmtId="166" fontId="11" fillId="0" borderId="4" xfId="12" applyNumberFormat="1" applyFont="1" applyBorder="1" applyAlignment="1" applyProtection="1">
      <alignment vertical="top" wrapText="1"/>
    </xf>
    <xf numFmtId="0" fontId="25" fillId="0" borderId="4" xfId="0" applyFont="1" applyBorder="1" applyAlignment="1">
      <alignment vertical="top" wrapText="1"/>
    </xf>
    <xf numFmtId="166" fontId="25" fillId="0" borderId="4" xfId="12" applyNumberFormat="1" applyFont="1" applyBorder="1" applyAlignment="1" applyProtection="1">
      <alignment vertical="top" wrapText="1"/>
    </xf>
    <xf numFmtId="167" fontId="25" fillId="0" borderId="4" xfId="31" applyNumberFormat="1" applyFont="1" applyBorder="1" applyAlignment="1" applyProtection="1">
      <alignment horizontal="left" vertical="top" wrapText="1"/>
    </xf>
    <xf numFmtId="167" fontId="25" fillId="0" borderId="4" xfId="0" applyNumberFormat="1" applyFont="1" applyBorder="1" applyAlignment="1">
      <alignment horizontal="left" vertical="top" wrapText="1"/>
    </xf>
    <xf numFmtId="0" fontId="25" fillId="0" borderId="4" xfId="0" applyFont="1" applyBorder="1" applyAlignment="1">
      <alignment horizontal="left" vertical="top" wrapText="1"/>
    </xf>
    <xf numFmtId="0" fontId="26" fillId="0" borderId="4" xfId="0" applyFont="1" applyBorder="1" applyAlignment="1">
      <alignment horizontal="left" vertical="top" wrapText="1"/>
    </xf>
    <xf numFmtId="166" fontId="23" fillId="0" borderId="0" xfId="0" applyNumberFormat="1" applyFont="1" applyAlignment="1">
      <alignment vertical="top" wrapText="1"/>
    </xf>
    <xf numFmtId="166" fontId="26" fillId="0" borderId="4" xfId="12" applyNumberFormat="1" applyFont="1" applyBorder="1" applyAlignment="1" applyProtection="1">
      <alignment vertical="top" wrapText="1"/>
    </xf>
    <xf numFmtId="0" fontId="25" fillId="0" borderId="4" xfId="0" applyFont="1" applyBorder="1" applyAlignment="1">
      <alignment horizontal="justify" vertical="top" wrapText="1"/>
    </xf>
    <xf numFmtId="166" fontId="24" fillId="0" borderId="4" xfId="12" applyNumberFormat="1" applyFont="1" applyBorder="1" applyAlignment="1" applyProtection="1">
      <alignment vertical="top" wrapText="1"/>
    </xf>
    <xf numFmtId="166" fontId="22" fillId="0" borderId="0" xfId="0" applyNumberFormat="1" applyFont="1" applyAlignment="1">
      <alignment vertical="top" wrapText="1"/>
    </xf>
    <xf numFmtId="0" fontId="27" fillId="0" borderId="4" xfId="0" applyFont="1" applyBorder="1" applyAlignment="1">
      <alignment vertical="top" wrapText="1"/>
    </xf>
    <xf numFmtId="0" fontId="23" fillId="0" borderId="4" xfId="0" applyFont="1" applyBorder="1" applyAlignment="1">
      <alignment horizontal="left" vertical="top" wrapText="1"/>
    </xf>
    <xf numFmtId="0" fontId="22" fillId="0" borderId="4" xfId="0" applyFont="1" applyBorder="1" applyAlignment="1">
      <alignment vertical="top" wrapText="1"/>
    </xf>
    <xf numFmtId="166" fontId="22" fillId="0" borderId="4" xfId="12" applyNumberFormat="1" applyFont="1" applyBorder="1" applyAlignment="1" applyProtection="1">
      <alignment vertical="top" wrapText="1"/>
    </xf>
    <xf numFmtId="0" fontId="23" fillId="0" borderId="4" xfId="0" applyFont="1" applyBorder="1" applyAlignment="1">
      <alignment vertical="top" wrapText="1"/>
    </xf>
    <xf numFmtId="166" fontId="23" fillId="0" borderId="4" xfId="12" applyNumberFormat="1" applyFont="1" applyBorder="1" applyAlignment="1" applyProtection="1">
      <alignment vertical="top" wrapText="1"/>
    </xf>
    <xf numFmtId="166" fontId="23" fillId="0" borderId="4" xfId="1" applyNumberFormat="1" applyFont="1" applyBorder="1" applyAlignment="1" applyProtection="1">
      <alignment vertical="top" wrapText="1"/>
    </xf>
    <xf numFmtId="166" fontId="23" fillId="0" borderId="4" xfId="0" applyNumberFormat="1" applyFont="1" applyBorder="1" applyAlignment="1">
      <alignment vertical="top" wrapText="1"/>
    </xf>
    <xf numFmtId="0" fontId="22" fillId="0" borderId="4" xfId="0" applyFont="1" applyBorder="1" applyAlignment="1">
      <alignment horizontal="left" vertical="top" wrapText="1"/>
    </xf>
    <xf numFmtId="9" fontId="23" fillId="0" borderId="4" xfId="2" applyFont="1" applyBorder="1" applyAlignment="1">
      <alignment horizontal="center" vertical="top" wrapText="1"/>
      <protection locked="0"/>
    </xf>
    <xf numFmtId="166" fontId="22" fillId="0" borderId="0" xfId="1" applyNumberFormat="1" applyFont="1" applyAlignment="1" applyProtection="1">
      <alignment vertical="top" wrapText="1"/>
    </xf>
    <xf numFmtId="0" fontId="11" fillId="0" borderId="0" xfId="0" applyFont="1" applyFill="1" applyAlignment="1">
      <alignment horizontal="left" vertical="top"/>
    </xf>
    <xf numFmtId="9" fontId="25" fillId="0" borderId="0" xfId="2" applyFont="1" applyFill="1" applyAlignment="1" applyProtection="1">
      <alignment horizontal="left" vertical="top"/>
    </xf>
    <xf numFmtId="0" fontId="26" fillId="0" borderId="0" xfId="0" applyFont="1" applyFill="1" applyAlignment="1">
      <alignment vertical="top"/>
    </xf>
    <xf numFmtId="0" fontId="25" fillId="0" borderId="0" xfId="0" applyFont="1" applyFill="1" applyAlignment="1">
      <alignment vertical="top"/>
    </xf>
    <xf numFmtId="0" fontId="25" fillId="0" borderId="0" xfId="0" applyFont="1" applyFill="1" applyAlignment="1">
      <alignment horizontal="left" vertical="top"/>
    </xf>
    <xf numFmtId="166" fontId="25" fillId="0" borderId="0" xfId="1" applyNumberFormat="1" applyFont="1" applyFill="1" applyAlignment="1" applyProtection="1">
      <alignment horizontal="left" vertical="top"/>
    </xf>
    <xf numFmtId="0" fontId="11" fillId="0" borderId="0" xfId="0" applyFont="1" applyFill="1" applyAlignment="1">
      <alignment vertical="top"/>
    </xf>
    <xf numFmtId="166" fontId="11" fillId="0" borderId="0" xfId="1" applyNumberFormat="1" applyFont="1" applyFill="1" applyAlignment="1" applyProtection="1">
      <alignment horizontal="left" vertical="top"/>
    </xf>
    <xf numFmtId="166" fontId="25" fillId="0" borderId="0" xfId="12" applyNumberFormat="1" applyFont="1" applyFill="1" applyAlignment="1" applyProtection="1">
      <alignment horizontal="left" vertical="top"/>
    </xf>
    <xf numFmtId="0" fontId="11" fillId="0" borderId="17" xfId="0" applyFont="1" applyFill="1" applyBorder="1" applyAlignment="1">
      <alignment horizontal="left" vertical="top"/>
    </xf>
    <xf numFmtId="0" fontId="11" fillId="0" borderId="20" xfId="0" applyFont="1" applyFill="1" applyBorder="1" applyAlignment="1">
      <alignment horizontal="left" vertical="top"/>
    </xf>
    <xf numFmtId="0" fontId="25" fillId="0" borderId="4" xfId="0" applyFont="1" applyFill="1" applyBorder="1" applyAlignment="1">
      <alignment horizontal="left" vertical="top" wrapText="1"/>
    </xf>
    <xf numFmtId="166" fontId="25" fillId="0" borderId="4" xfId="1" applyNumberFormat="1" applyFont="1" applyFill="1" applyBorder="1" applyAlignment="1" applyProtection="1">
      <alignment horizontal="left" vertical="top" wrapText="1"/>
    </xf>
    <xf numFmtId="0" fontId="11" fillId="0" borderId="4" xfId="0" applyFont="1" applyFill="1" applyBorder="1" applyAlignment="1">
      <alignment horizontal="left" vertical="top" wrapText="1"/>
    </xf>
    <xf numFmtId="166" fontId="11" fillId="0" borderId="4" xfId="1" applyNumberFormat="1" applyFont="1" applyFill="1" applyBorder="1" applyAlignment="1" applyProtection="1">
      <alignment horizontal="left" vertical="top"/>
    </xf>
    <xf numFmtId="167" fontId="25" fillId="0" borderId="4" xfId="0" applyNumberFormat="1" applyFont="1" applyFill="1" applyBorder="1" applyAlignment="1">
      <alignment horizontal="left" vertical="top"/>
    </xf>
    <xf numFmtId="166" fontId="25" fillId="0" borderId="4" xfId="1" applyNumberFormat="1" applyFont="1" applyFill="1" applyBorder="1" applyAlignment="1" applyProtection="1">
      <alignment horizontal="left" vertical="top"/>
    </xf>
    <xf numFmtId="0" fontId="11" fillId="0" borderId="4" xfId="0" applyFont="1" applyFill="1" applyBorder="1" applyAlignment="1">
      <alignment horizontal="left" vertical="top"/>
    </xf>
    <xf numFmtId="167" fontId="25" fillId="0" borderId="4" xfId="31" applyNumberFormat="1" applyFont="1" applyFill="1" applyBorder="1" applyAlignment="1" applyProtection="1">
      <alignment horizontal="left" vertical="top"/>
    </xf>
    <xf numFmtId="167" fontId="11" fillId="0" borderId="4" xfId="31" applyNumberFormat="1" applyFont="1" applyFill="1" applyBorder="1" applyAlignment="1" applyProtection="1">
      <alignment horizontal="left" vertical="top"/>
    </xf>
    <xf numFmtId="167" fontId="11" fillId="0" borderId="4" xfId="0" applyNumberFormat="1" applyFont="1" applyFill="1" applyBorder="1" applyAlignment="1">
      <alignment horizontal="left" vertical="top"/>
    </xf>
    <xf numFmtId="167" fontId="25" fillId="0" borderId="4" xfId="0" applyNumberFormat="1" applyFont="1" applyFill="1" applyBorder="1" applyAlignment="1">
      <alignment horizontal="left" vertical="top" wrapText="1"/>
    </xf>
    <xf numFmtId="167" fontId="11" fillId="0" borderId="4" xfId="0" applyNumberFormat="1" applyFont="1" applyFill="1" applyBorder="1" applyAlignment="1">
      <alignment horizontal="left" vertical="top" wrapText="1"/>
    </xf>
    <xf numFmtId="0" fontId="25" fillId="0" borderId="4" xfId="0" applyFont="1" applyFill="1" applyBorder="1" applyAlignment="1">
      <alignment horizontal="left" vertical="top"/>
    </xf>
    <xf numFmtId="166" fontId="11" fillId="0" borderId="4" xfId="1" applyNumberFormat="1" applyFont="1" applyFill="1" applyBorder="1" applyAlignment="1" applyProtection="1">
      <alignment horizontal="left" vertical="top" wrapText="1"/>
    </xf>
    <xf numFmtId="167" fontId="11" fillId="0" borderId="4" xfId="1" applyNumberFormat="1" applyFont="1" applyFill="1" applyBorder="1" applyAlignment="1" applyProtection="1">
      <alignment horizontal="left" vertical="top"/>
    </xf>
    <xf numFmtId="165" fontId="25" fillId="0" borderId="0" xfId="0" applyNumberFormat="1" applyFont="1" applyFill="1" applyAlignment="1">
      <alignment horizontal="left" vertical="top"/>
    </xf>
    <xf numFmtId="167" fontId="11" fillId="0" borderId="20" xfId="0" applyNumberFormat="1" applyFont="1" applyFill="1" applyBorder="1" applyAlignment="1">
      <alignment horizontal="left" vertical="top"/>
    </xf>
    <xf numFmtId="167" fontId="11" fillId="0" borderId="4" xfId="0" applyNumberFormat="1" applyFont="1" applyFill="1" applyBorder="1" applyAlignment="1">
      <alignment vertical="top"/>
    </xf>
    <xf numFmtId="167" fontId="11" fillId="0" borderId="4" xfId="31" applyNumberFormat="1" applyFont="1" applyFill="1" applyBorder="1" applyAlignment="1" applyProtection="1">
      <alignment vertical="top"/>
    </xf>
    <xf numFmtId="166" fontId="11" fillId="0" borderId="20" xfId="1" applyNumberFormat="1" applyFont="1" applyFill="1" applyBorder="1" applyAlignment="1" applyProtection="1">
      <alignment horizontal="left" vertical="top"/>
    </xf>
    <xf numFmtId="0" fontId="25" fillId="0" borderId="0" xfId="0" applyFont="1" applyFill="1" applyAlignment="1">
      <alignment horizontal="left" vertical="top" wrapText="1"/>
    </xf>
    <xf numFmtId="166" fontId="25" fillId="0" borderId="0" xfId="0" applyNumberFormat="1" applyFont="1" applyFill="1" applyAlignment="1">
      <alignment horizontal="left" vertical="top"/>
    </xf>
    <xf numFmtId="0" fontId="25" fillId="0" borderId="4" xfId="12" applyNumberFormat="1" applyFont="1" applyFill="1" applyBorder="1" applyAlignment="1" applyProtection="1">
      <alignment horizontal="left" vertical="top"/>
    </xf>
    <xf numFmtId="0" fontId="11" fillId="0" borderId="0" xfId="0" applyFont="1" applyFill="1" applyAlignment="1">
      <alignment horizontal="left" vertical="top" wrapText="1"/>
    </xf>
    <xf numFmtId="166" fontId="11" fillId="0" borderId="0" xfId="1" applyNumberFormat="1" applyFont="1" applyFill="1" applyAlignment="1" applyProtection="1">
      <alignment horizontal="left" vertical="top" wrapText="1"/>
    </xf>
    <xf numFmtId="43" fontId="25" fillId="0" borderId="0" xfId="0" applyNumberFormat="1" applyFont="1" applyFill="1" applyAlignment="1">
      <alignment horizontal="left" vertical="top"/>
    </xf>
    <xf numFmtId="0" fontId="11" fillId="0" borderId="4" xfId="12" applyNumberFormat="1" applyFont="1" applyFill="1" applyBorder="1" applyAlignment="1" applyProtection="1">
      <alignment horizontal="left" vertical="top"/>
    </xf>
    <xf numFmtId="166" fontId="25" fillId="0" borderId="4" xfId="12" applyNumberFormat="1" applyFont="1" applyFill="1" applyBorder="1" applyAlignment="1" applyProtection="1">
      <alignment horizontal="left" vertical="top"/>
    </xf>
    <xf numFmtId="166" fontId="11" fillId="0" borderId="4" xfId="12" applyNumberFormat="1" applyFont="1" applyFill="1" applyBorder="1" applyAlignment="1" applyProtection="1">
      <alignment horizontal="left" vertical="top" wrapText="1"/>
    </xf>
    <xf numFmtId="0" fontId="25" fillId="0" borderId="2" xfId="0" applyFont="1" applyFill="1" applyBorder="1" applyAlignment="1">
      <alignment horizontal="left" vertical="top" wrapText="1"/>
    </xf>
    <xf numFmtId="166" fontId="25" fillId="0" borderId="3" xfId="12" applyNumberFormat="1" applyFont="1" applyFill="1" applyBorder="1" applyAlignment="1" applyProtection="1">
      <alignment horizontal="left" vertical="top" wrapText="1"/>
    </xf>
    <xf numFmtId="166" fontId="25" fillId="0" borderId="4" xfId="12" applyNumberFormat="1" applyFont="1" applyFill="1" applyBorder="1" applyAlignment="1" applyProtection="1">
      <alignment horizontal="left" vertical="top" wrapText="1"/>
    </xf>
    <xf numFmtId="166" fontId="11" fillId="0" borderId="0" xfId="12" applyNumberFormat="1" applyFont="1" applyFill="1" applyAlignment="1" applyProtection="1">
      <alignment horizontal="left" vertical="top"/>
    </xf>
    <xf numFmtId="166" fontId="25" fillId="0" borderId="0" xfId="1" applyNumberFormat="1" applyFont="1" applyFill="1">
      <protection locked="0"/>
    </xf>
    <xf numFmtId="167" fontId="25" fillId="0" borderId="0" xfId="0" applyNumberFormat="1" applyFont="1" applyFill="1" applyAlignment="1">
      <alignment horizontal="left" vertical="top"/>
    </xf>
    <xf numFmtId="166" fontId="11" fillId="0" borderId="4" xfId="12" applyNumberFormat="1" applyFont="1" applyFill="1" applyBorder="1" applyAlignment="1" applyProtection="1">
      <alignment horizontal="left" vertical="top"/>
    </xf>
    <xf numFmtId="166" fontId="25" fillId="0" borderId="0" xfId="1" applyNumberFormat="1" applyFont="1" applyFill="1" applyAlignment="1">
      <alignment horizontal="left"/>
      <protection locked="0"/>
    </xf>
    <xf numFmtId="0" fontId="11" fillId="0" borderId="2" xfId="0" applyFont="1" applyFill="1" applyBorder="1" applyAlignment="1">
      <alignment horizontal="left" vertical="top" wrapText="1"/>
    </xf>
    <xf numFmtId="166" fontId="11" fillId="0" borderId="3" xfId="1" applyNumberFormat="1" applyFont="1" applyFill="1" applyBorder="1" applyAlignment="1" applyProtection="1">
      <alignment horizontal="left" vertical="top" wrapText="1"/>
    </xf>
    <xf numFmtId="1" fontId="25" fillId="0" borderId="0" xfId="0" applyNumberFormat="1" applyFont="1" applyFill="1" applyAlignment="1">
      <alignment horizontal="left" vertical="top"/>
    </xf>
    <xf numFmtId="166" fontId="11" fillId="0" borderId="17" xfId="12" applyNumberFormat="1" applyFont="1" applyFill="1" applyBorder="1" applyAlignment="1" applyProtection="1">
      <alignment horizontal="left" vertical="top"/>
    </xf>
    <xf numFmtId="165" fontId="11" fillId="0" borderId="4" xfId="12" applyFont="1" applyFill="1" applyBorder="1" applyAlignment="1" applyProtection="1">
      <alignment horizontal="left" vertical="top"/>
    </xf>
    <xf numFmtId="165" fontId="25" fillId="0" borderId="4" xfId="12" applyFont="1" applyFill="1" applyBorder="1" applyAlignment="1" applyProtection="1">
      <alignment horizontal="left" vertical="top"/>
    </xf>
    <xf numFmtId="0" fontId="28" fillId="0" borderId="4" xfId="0" applyFont="1" applyFill="1" applyBorder="1" applyAlignment="1">
      <alignment horizontal="left" vertical="top" wrapText="1"/>
    </xf>
    <xf numFmtId="0" fontId="11" fillId="0" borderId="3" xfId="0" applyFont="1" applyFill="1" applyBorder="1" applyAlignment="1">
      <alignment horizontal="left" vertical="top"/>
    </xf>
    <xf numFmtId="166" fontId="11" fillId="0" borderId="3" xfId="1" applyNumberFormat="1" applyFont="1" applyFill="1" applyBorder="1" applyAlignment="1" applyProtection="1">
      <alignment horizontal="left" vertical="top"/>
    </xf>
    <xf numFmtId="0" fontId="11" fillId="0" borderId="0" xfId="29" applyFont="1" applyFill="1" applyAlignment="1" applyProtection="1">
      <alignment horizontal="left" vertical="top"/>
    </xf>
    <xf numFmtId="166" fontId="11" fillId="0" borderId="3" xfId="12" applyNumberFormat="1" applyFont="1" applyFill="1" applyBorder="1" applyAlignment="1" applyProtection="1">
      <alignment horizontal="left" vertical="top" wrapText="1"/>
    </xf>
    <xf numFmtId="166" fontId="25" fillId="0" borderId="20" xfId="1" applyNumberFormat="1" applyFont="1" applyFill="1" applyBorder="1" applyAlignment="1" applyProtection="1">
      <alignment horizontal="left" vertical="top" wrapText="1"/>
    </xf>
    <xf numFmtId="166" fontId="11" fillId="0" borderId="20" xfId="1" applyNumberFormat="1" applyFont="1" applyFill="1" applyBorder="1" applyAlignment="1" applyProtection="1">
      <alignment horizontal="left" vertical="top" wrapText="1"/>
    </xf>
    <xf numFmtId="0" fontId="11" fillId="0" borderId="21" xfId="0" applyFont="1" applyFill="1" applyBorder="1" applyAlignment="1">
      <alignment horizontal="left" vertical="top"/>
    </xf>
    <xf numFmtId="165" fontId="11" fillId="0" borderId="4" xfId="1" applyFont="1" applyFill="1" applyBorder="1" applyAlignment="1" applyProtection="1">
      <alignment horizontal="left" vertical="top"/>
    </xf>
    <xf numFmtId="165" fontId="25" fillId="0" borderId="4" xfId="1" applyFont="1" applyFill="1" applyBorder="1" applyAlignment="1" applyProtection="1">
      <alignment horizontal="left" vertical="top"/>
    </xf>
    <xf numFmtId="165" fontId="11" fillId="0" borderId="0" xfId="1" applyFont="1" applyFill="1" applyAlignment="1" applyProtection="1">
      <alignment horizontal="left" vertical="top"/>
    </xf>
    <xf numFmtId="0" fontId="11" fillId="0" borderId="20" xfId="0" applyFont="1" applyFill="1" applyBorder="1" applyAlignment="1">
      <alignment vertical="top"/>
    </xf>
    <xf numFmtId="166" fontId="11" fillId="0" borderId="20" xfId="1" applyNumberFormat="1" applyFont="1" applyFill="1" applyBorder="1" applyAlignment="1" applyProtection="1">
      <alignment vertical="top" wrapText="1"/>
    </xf>
    <xf numFmtId="165" fontId="25" fillId="0" borderId="4" xfId="1" applyFont="1" applyFill="1" applyBorder="1" applyAlignment="1" applyProtection="1">
      <alignment horizontal="left" vertical="top" wrapText="1"/>
    </xf>
    <xf numFmtId="165" fontId="11" fillId="0" borderId="4" xfId="1" applyFont="1" applyFill="1" applyBorder="1" applyAlignment="1" applyProtection="1">
      <alignment horizontal="left" vertical="top" wrapText="1"/>
    </xf>
    <xf numFmtId="0" fontId="25" fillId="0" borderId="18" xfId="0" applyFont="1" applyFill="1" applyBorder="1" applyAlignment="1">
      <alignment vertical="top" wrapText="1"/>
    </xf>
    <xf numFmtId="0" fontId="11" fillId="0" borderId="18" xfId="0" applyFont="1" applyFill="1" applyBorder="1" applyAlignment="1">
      <alignment vertical="top" wrapText="1"/>
    </xf>
    <xf numFmtId="166" fontId="25" fillId="0" borderId="19" xfId="1" applyNumberFormat="1" applyFont="1" applyFill="1" applyBorder="1" applyAlignment="1" applyProtection="1">
      <alignment vertical="top" wrapText="1"/>
    </xf>
    <xf numFmtId="166" fontId="26" fillId="0" borderId="4" xfId="1" applyNumberFormat="1" applyFont="1" applyFill="1" applyBorder="1" applyAlignment="1" applyProtection="1">
      <alignment horizontal="left" vertical="top"/>
    </xf>
    <xf numFmtId="166" fontId="11" fillId="0" borderId="19" xfId="1" applyNumberFormat="1" applyFont="1" applyFill="1" applyBorder="1" applyAlignment="1" applyProtection="1">
      <alignment vertical="top" wrapText="1"/>
    </xf>
    <xf numFmtId="166" fontId="24" fillId="0" borderId="4" xfId="1" applyNumberFormat="1" applyFont="1" applyFill="1" applyBorder="1" applyAlignment="1" applyProtection="1">
      <alignment horizontal="left" vertical="top"/>
    </xf>
    <xf numFmtId="0" fontId="11" fillId="0" borderId="4" xfId="1" applyNumberFormat="1" applyFont="1" applyFill="1" applyBorder="1" applyAlignment="1" applyProtection="1">
      <alignment vertical="top" wrapText="1"/>
    </xf>
    <xf numFmtId="166" fontId="11" fillId="0" borderId="4" xfId="1" applyNumberFormat="1" applyFont="1" applyFill="1" applyBorder="1" applyAlignment="1" applyProtection="1">
      <alignment vertical="top" wrapText="1"/>
    </xf>
    <xf numFmtId="0" fontId="25" fillId="0" borderId="4" xfId="1" applyNumberFormat="1" applyFont="1" applyFill="1" applyBorder="1" applyAlignment="1" applyProtection="1">
      <alignment vertical="top" wrapText="1"/>
    </xf>
    <xf numFmtId="166" fontId="25" fillId="0" borderId="4" xfId="1" applyNumberFormat="1" applyFont="1" applyFill="1" applyBorder="1" applyAlignment="1" applyProtection="1">
      <alignment vertical="top" wrapText="1"/>
    </xf>
    <xf numFmtId="165" fontId="24" fillId="0" borderId="4" xfId="1" applyFont="1" applyFill="1" applyBorder="1" applyAlignment="1" applyProtection="1">
      <alignment horizontal="left" vertical="top"/>
    </xf>
    <xf numFmtId="166" fontId="25" fillId="0" borderId="0" xfId="1" applyNumberFormat="1" applyFont="1" applyFill="1" applyAlignment="1" applyProtection="1">
      <alignment vertical="top"/>
    </xf>
    <xf numFmtId="166" fontId="25" fillId="0" borderId="0" xfId="0" applyNumberFormat="1" applyFont="1" applyFill="1" applyAlignment="1">
      <alignment vertical="top"/>
    </xf>
    <xf numFmtId="166" fontId="26" fillId="0" borderId="0" xfId="1" applyNumberFormat="1" applyFont="1" applyFill="1" applyAlignment="1" applyProtection="1">
      <alignment vertical="top"/>
    </xf>
    <xf numFmtId="166" fontId="25" fillId="0" borderId="4" xfId="1" applyNumberFormat="1" applyFont="1" applyFill="1" applyBorder="1" applyAlignment="1" applyProtection="1">
      <alignment horizontal="right" vertical="top"/>
    </xf>
    <xf numFmtId="0" fontId="11" fillId="0" borderId="4" xfId="0" applyFont="1" applyFill="1" applyBorder="1" applyAlignment="1">
      <alignment vertical="top" wrapText="1"/>
    </xf>
    <xf numFmtId="166" fontId="25" fillId="0" borderId="4" xfId="1" applyNumberFormat="1" applyFont="1" applyFill="1" applyBorder="1" applyAlignment="1" applyProtection="1">
      <alignment vertical="top"/>
    </xf>
    <xf numFmtId="166" fontId="11" fillId="0" borderId="0" xfId="1" applyNumberFormat="1" applyFont="1" applyFill="1" applyAlignment="1" applyProtection="1">
      <alignment vertical="top"/>
    </xf>
    <xf numFmtId="43" fontId="11" fillId="0" borderId="0" xfId="0" applyNumberFormat="1" applyFont="1" applyFill="1" applyAlignment="1">
      <alignment horizontal="left" vertical="top"/>
    </xf>
    <xf numFmtId="0" fontId="29" fillId="0" borderId="0" xfId="0" applyFont="1" applyFill="1" applyBorder="1" applyAlignment="1">
      <alignment vertical="top"/>
    </xf>
    <xf numFmtId="0" fontId="29" fillId="0" borderId="0" xfId="0" applyFont="1" applyFill="1" applyAlignment="1">
      <alignment vertical="top"/>
    </xf>
    <xf numFmtId="0" fontId="30" fillId="0" borderId="0" xfId="0" applyFont="1" applyFill="1" applyAlignment="1">
      <alignment vertical="top"/>
    </xf>
    <xf numFmtId="0" fontId="31" fillId="0" borderId="0" xfId="0" applyFont="1" applyFill="1" applyBorder="1" applyAlignment="1">
      <alignment horizontal="left" vertical="top"/>
    </xf>
    <xf numFmtId="0" fontId="20" fillId="0" borderId="0" xfId="0" applyFont="1" applyFill="1" applyBorder="1" applyAlignment="1">
      <alignment vertical="top"/>
    </xf>
    <xf numFmtId="0" fontId="32" fillId="0" borderId="0" xfId="0" applyFont="1" applyFill="1" applyBorder="1" applyAlignment="1">
      <alignment vertical="top"/>
    </xf>
    <xf numFmtId="0" fontId="29" fillId="0" borderId="0" xfId="0" applyFont="1" applyFill="1" applyAlignment="1">
      <alignment horizontal="left" vertical="top"/>
    </xf>
    <xf numFmtId="0" fontId="34" fillId="0" borderId="0" xfId="0" applyFont="1" applyFill="1" applyBorder="1" applyAlignment="1">
      <alignment vertical="top"/>
    </xf>
    <xf numFmtId="0" fontId="35" fillId="0" borderId="0" xfId="0" applyFont="1" applyFill="1" applyBorder="1" applyAlignment="1">
      <alignment vertical="top"/>
    </xf>
    <xf numFmtId="0" fontId="36" fillId="0" borderId="0" xfId="0" applyFont="1" applyFill="1" applyAlignment="1">
      <alignment vertical="top"/>
    </xf>
    <xf numFmtId="0" fontId="31" fillId="0" borderId="0" xfId="0" applyFont="1" applyFill="1" applyAlignment="1">
      <alignment vertical="top"/>
    </xf>
    <xf numFmtId="0" fontId="30" fillId="0" borderId="0" xfId="0" applyFont="1" applyFill="1" applyBorder="1" applyAlignment="1">
      <alignment vertical="top"/>
    </xf>
    <xf numFmtId="0" fontId="36" fillId="0" borderId="0" xfId="0" applyFont="1" applyFill="1" applyBorder="1" applyAlignment="1">
      <alignment vertical="top"/>
    </xf>
    <xf numFmtId="0" fontId="37" fillId="0" borderId="0" xfId="0" applyFont="1" applyFill="1" applyBorder="1" applyAlignment="1">
      <alignment vertical="top"/>
    </xf>
    <xf numFmtId="0" fontId="38" fillId="0" borderId="0" xfId="0" applyFont="1" applyFill="1" applyBorder="1" applyAlignment="1">
      <alignment vertical="top"/>
    </xf>
    <xf numFmtId="0" fontId="30" fillId="0" borderId="0" xfId="0" applyFont="1" applyFill="1" applyBorder="1" applyAlignment="1">
      <alignment horizontal="left" vertical="top"/>
    </xf>
    <xf numFmtId="0" fontId="32" fillId="0" borderId="0" xfId="0" applyFont="1" applyFill="1" applyAlignment="1">
      <alignment vertical="top"/>
    </xf>
    <xf numFmtId="0" fontId="33" fillId="0" borderId="0" xfId="0" applyFont="1" applyFill="1" applyBorder="1" applyAlignment="1">
      <alignment vertical="top"/>
    </xf>
    <xf numFmtId="0" fontId="39" fillId="0" borderId="0" xfId="0" applyFont="1" applyFill="1" applyAlignment="1">
      <alignment vertical="top" wrapText="1"/>
    </xf>
    <xf numFmtId="0" fontId="19" fillId="0" borderId="0" xfId="0" applyFont="1" applyFill="1" applyBorder="1" applyAlignment="1">
      <alignment vertical="top"/>
    </xf>
    <xf numFmtId="0" fontId="31" fillId="0" borderId="0" xfId="0" applyFont="1" applyFill="1" applyBorder="1" applyAlignment="1">
      <alignment vertical="top"/>
    </xf>
    <xf numFmtId="166" fontId="31" fillId="0" borderId="0" xfId="0" applyNumberFormat="1" applyFont="1" applyFill="1" applyBorder="1" applyAlignment="1">
      <alignment vertical="top"/>
    </xf>
    <xf numFmtId="49" fontId="33" fillId="0" borderId="4" xfId="12" applyNumberFormat="1" applyFont="1" applyFill="1" applyBorder="1" applyAlignment="1" applyProtection="1">
      <alignment horizontal="center" vertical="top" wrapText="1"/>
    </xf>
    <xf numFmtId="0" fontId="33" fillId="0" borderId="4" xfId="12" applyNumberFormat="1" applyFont="1" applyFill="1" applyBorder="1" applyAlignment="1" applyProtection="1">
      <alignment horizontal="left" vertical="top"/>
    </xf>
    <xf numFmtId="170" fontId="33" fillId="0" borderId="4" xfId="0" applyNumberFormat="1" applyFont="1" applyFill="1" applyBorder="1" applyAlignment="1">
      <alignment horizontal="center" vertical="top" wrapText="1"/>
    </xf>
    <xf numFmtId="166" fontId="33" fillId="0" borderId="4" xfId="1" applyNumberFormat="1" applyFont="1" applyFill="1" applyBorder="1" applyAlignment="1" applyProtection="1">
      <alignment horizontal="center" vertical="top" wrapText="1"/>
    </xf>
    <xf numFmtId="0" fontId="32" fillId="0" borderId="4" xfId="0" applyFont="1" applyFill="1" applyBorder="1" applyAlignment="1">
      <alignment vertical="top"/>
    </xf>
    <xf numFmtId="1" fontId="33" fillId="0" borderId="4" xfId="0" applyNumberFormat="1" applyFont="1" applyFill="1" applyBorder="1" applyAlignment="1">
      <alignment horizontal="left" vertical="top"/>
    </xf>
    <xf numFmtId="0" fontId="33" fillId="0" borderId="4" xfId="0" applyFont="1" applyFill="1" applyBorder="1" applyAlignment="1">
      <alignment horizontal="left" vertical="top" wrapText="1"/>
    </xf>
    <xf numFmtId="164" fontId="32" fillId="0" borderId="4" xfId="12" applyNumberFormat="1" applyFont="1" applyFill="1" applyBorder="1" applyAlignment="1" applyProtection="1">
      <alignment horizontal="center" vertical="top"/>
    </xf>
    <xf numFmtId="166" fontId="29" fillId="0" borderId="4" xfId="1" applyNumberFormat="1" applyFont="1" applyFill="1" applyBorder="1" applyAlignment="1" applyProtection="1">
      <alignment vertical="top"/>
    </xf>
    <xf numFmtId="0" fontId="19" fillId="0" borderId="4" xfId="0" applyFont="1" applyFill="1" applyBorder="1" applyAlignment="1">
      <alignment vertical="top"/>
    </xf>
    <xf numFmtId="1" fontId="19" fillId="0" borderId="4" xfId="0" applyNumberFormat="1" applyFont="1" applyFill="1" applyBorder="1" applyAlignment="1">
      <alignment horizontal="left" vertical="top"/>
    </xf>
    <xf numFmtId="0" fontId="19" fillId="0" borderId="4" xfId="0" applyFont="1" applyFill="1" applyBorder="1" applyAlignment="1">
      <alignment horizontal="left" vertical="top" wrapText="1"/>
    </xf>
    <xf numFmtId="164" fontId="36" fillId="0" borderId="4" xfId="12" applyNumberFormat="1" applyFont="1" applyFill="1" applyBorder="1" applyAlignment="1" applyProtection="1">
      <alignment horizontal="left" vertical="top"/>
    </xf>
    <xf numFmtId="0" fontId="31" fillId="0" borderId="4" xfId="0" applyFont="1" applyFill="1" applyBorder="1" applyAlignment="1">
      <alignment vertical="top"/>
    </xf>
    <xf numFmtId="1" fontId="31" fillId="0" borderId="4" xfId="0" applyNumberFormat="1" applyFont="1" applyFill="1" applyBorder="1" applyAlignment="1">
      <alignment horizontal="left" vertical="top"/>
    </xf>
    <xf numFmtId="0" fontId="31" fillId="0" borderId="4" xfId="0" applyFont="1" applyFill="1" applyBorder="1" applyAlignment="1">
      <alignment horizontal="left" vertical="top" wrapText="1"/>
    </xf>
    <xf numFmtId="164" fontId="31" fillId="0" borderId="4" xfId="12" applyNumberFormat="1" applyFont="1" applyFill="1" applyBorder="1" applyAlignment="1" applyProtection="1">
      <alignment horizontal="left" vertical="top"/>
    </xf>
    <xf numFmtId="0" fontId="36" fillId="0" borderId="4" xfId="0" applyFont="1" applyFill="1" applyBorder="1" applyAlignment="1">
      <alignment vertical="top"/>
    </xf>
    <xf numFmtId="1" fontId="36" fillId="0" borderId="4" xfId="0" applyNumberFormat="1" applyFont="1" applyFill="1" applyBorder="1" applyAlignment="1">
      <alignment horizontal="left" vertical="top"/>
    </xf>
    <xf numFmtId="0" fontId="36" fillId="0" borderId="4" xfId="0" applyFont="1" applyFill="1" applyBorder="1" applyAlignment="1">
      <alignment horizontal="left" vertical="top" wrapText="1"/>
    </xf>
    <xf numFmtId="164" fontId="31" fillId="0" borderId="4" xfId="0" applyNumberFormat="1" applyFont="1" applyFill="1" applyBorder="1" applyAlignment="1">
      <alignment horizontal="left" vertical="top"/>
    </xf>
    <xf numFmtId="167" fontId="31" fillId="0" borderId="4" xfId="0" applyNumberFormat="1" applyFont="1" applyFill="1" applyBorder="1" applyAlignment="1">
      <alignment horizontal="left" vertical="top" wrapText="1"/>
    </xf>
    <xf numFmtId="167" fontId="36" fillId="0" borderId="4" xfId="0" applyNumberFormat="1" applyFont="1" applyFill="1" applyBorder="1" applyAlignment="1">
      <alignment horizontal="left" vertical="top" wrapText="1"/>
    </xf>
    <xf numFmtId="0" fontId="37" fillId="0" borderId="4" xfId="0" applyFont="1" applyFill="1" applyBorder="1" applyAlignment="1">
      <alignment vertical="top"/>
    </xf>
    <xf numFmtId="1" fontId="32" fillId="0" borderId="4" xfId="0" applyNumberFormat="1" applyFont="1" applyFill="1" applyBorder="1" applyAlignment="1">
      <alignment horizontal="left" vertical="top"/>
    </xf>
    <xf numFmtId="167" fontId="33" fillId="0" borderId="4" xfId="0" applyNumberFormat="1" applyFont="1" applyFill="1" applyBorder="1" applyAlignment="1">
      <alignment horizontal="left" vertical="top" wrapText="1"/>
    </xf>
    <xf numFmtId="164" fontId="36" fillId="0" borderId="4" xfId="12" applyNumberFormat="1" applyFont="1" applyFill="1" applyBorder="1" applyAlignment="1" applyProtection="1">
      <alignment horizontal="center" vertical="top"/>
    </xf>
    <xf numFmtId="164" fontId="31" fillId="0" borderId="4" xfId="12" applyNumberFormat="1" applyFont="1" applyFill="1" applyBorder="1" applyAlignment="1" applyProtection="1">
      <alignment horizontal="center" vertical="top"/>
    </xf>
    <xf numFmtId="171" fontId="31" fillId="0" borderId="4" xfId="0" applyNumberFormat="1" applyFont="1" applyFill="1" applyBorder="1" applyAlignment="1">
      <alignment horizontal="left" vertical="top" wrapText="1"/>
    </xf>
    <xf numFmtId="49" fontId="31" fillId="0" borderId="4" xfId="0" applyNumberFormat="1" applyFont="1" applyFill="1" applyBorder="1" applyAlignment="1">
      <alignment horizontal="left" vertical="top" wrapText="1"/>
    </xf>
    <xf numFmtId="1" fontId="29" fillId="0" borderId="4" xfId="0" applyNumberFormat="1" applyFont="1" applyFill="1" applyBorder="1" applyAlignment="1">
      <alignment vertical="top"/>
    </xf>
    <xf numFmtId="1" fontId="19" fillId="0" borderId="4" xfId="29" applyNumberFormat="1" applyFont="1" applyFill="1" applyBorder="1" applyAlignment="1" applyProtection="1">
      <alignment horizontal="left" vertical="top"/>
    </xf>
    <xf numFmtId="0" fontId="19" fillId="0" borderId="4" xfId="29" applyFont="1" applyFill="1" applyBorder="1" applyAlignment="1" applyProtection="1">
      <alignment horizontal="left" vertical="top" wrapText="1"/>
    </xf>
    <xf numFmtId="164" fontId="36" fillId="0" borderId="4" xfId="0" applyNumberFormat="1" applyFont="1" applyFill="1" applyBorder="1" applyAlignment="1">
      <alignment vertical="top"/>
    </xf>
    <xf numFmtId="1" fontId="20" fillId="0" borderId="4" xfId="29" applyNumberFormat="1" applyFont="1" applyFill="1" applyBorder="1" applyAlignment="1" applyProtection="1">
      <alignment horizontal="left" vertical="top"/>
    </xf>
    <xf numFmtId="0" fontId="20" fillId="0" borderId="4" xfId="29" applyFont="1" applyFill="1" applyBorder="1" applyAlignment="1" applyProtection="1">
      <alignment horizontal="left" vertical="top" wrapText="1"/>
    </xf>
    <xf numFmtId="164" fontId="31" fillId="0" borderId="4" xfId="0" applyNumberFormat="1" applyFont="1" applyFill="1" applyBorder="1" applyAlignment="1">
      <alignment vertical="top"/>
    </xf>
    <xf numFmtId="167" fontId="19" fillId="0" borderId="4" xfId="0" applyNumberFormat="1" applyFont="1" applyFill="1" applyBorder="1" applyAlignment="1">
      <alignment horizontal="left" vertical="top" wrapText="1"/>
    </xf>
    <xf numFmtId="1" fontId="20" fillId="0" borderId="4" xfId="0" applyNumberFormat="1" applyFont="1" applyFill="1" applyBorder="1" applyAlignment="1">
      <alignment horizontal="left" vertical="top"/>
    </xf>
    <xf numFmtId="167" fontId="20" fillId="0" borderId="4" xfId="0" applyNumberFormat="1" applyFont="1" applyFill="1" applyBorder="1" applyAlignment="1">
      <alignment horizontal="left" vertical="top" wrapText="1"/>
    </xf>
    <xf numFmtId="1" fontId="31" fillId="0" borderId="4" xfId="12" applyNumberFormat="1" applyFont="1" applyFill="1" applyBorder="1" applyAlignment="1" applyProtection="1">
      <alignment horizontal="left" vertical="top"/>
    </xf>
    <xf numFmtId="165" fontId="31" fillId="0" borderId="4" xfId="12" applyFont="1" applyFill="1" applyBorder="1" applyAlignment="1" applyProtection="1">
      <alignment horizontal="left" vertical="top" wrapText="1"/>
    </xf>
    <xf numFmtId="1" fontId="36" fillId="0" borderId="4" xfId="12" applyNumberFormat="1" applyFont="1" applyFill="1" applyBorder="1" applyAlignment="1" applyProtection="1">
      <alignment horizontal="left" vertical="top"/>
    </xf>
    <xf numFmtId="165" fontId="36" fillId="0" borderId="4" xfId="12" applyFont="1" applyFill="1" applyBorder="1" applyAlignment="1" applyProtection="1">
      <alignment horizontal="left" vertical="top" wrapText="1"/>
    </xf>
    <xf numFmtId="0" fontId="20" fillId="0" borderId="4" xfId="0" applyFont="1" applyFill="1" applyBorder="1" applyAlignment="1">
      <alignment horizontal="left" vertical="top"/>
    </xf>
    <xf numFmtId="164" fontId="36" fillId="0" borderId="4" xfId="0" applyNumberFormat="1" applyFont="1" applyFill="1" applyBorder="1" applyAlignment="1">
      <alignment horizontal="left" vertical="top"/>
    </xf>
    <xf numFmtId="49" fontId="32" fillId="0" borderId="4" xfId="32" applyNumberFormat="1" applyFont="1" applyFill="1" applyBorder="1" applyAlignment="1" applyProtection="1">
      <alignment horizontal="right" vertical="top"/>
    </xf>
    <xf numFmtId="1" fontId="33" fillId="0" borderId="4" xfId="32" applyNumberFormat="1" applyFont="1" applyFill="1" applyBorder="1" applyAlignment="1" applyProtection="1">
      <alignment vertical="top"/>
    </xf>
    <xf numFmtId="167" fontId="33" fillId="0" borderId="4" xfId="32" applyNumberFormat="1" applyFont="1" applyFill="1" applyBorder="1" applyAlignment="1" applyProtection="1">
      <alignment vertical="top" wrapText="1"/>
    </xf>
    <xf numFmtId="164" fontId="31" fillId="0" borderId="4" xfId="32" applyNumberFormat="1" applyFont="1" applyFill="1" applyBorder="1" applyAlignment="1" applyProtection="1">
      <alignment vertical="top"/>
    </xf>
    <xf numFmtId="49" fontId="20" fillId="0" borderId="4" xfId="32" applyNumberFormat="1" applyFont="1" applyFill="1" applyBorder="1" applyAlignment="1" applyProtection="1">
      <alignment horizontal="right" vertical="top"/>
    </xf>
    <xf numFmtId="164" fontId="36" fillId="0" borderId="4" xfId="32" applyNumberFormat="1" applyFont="1" applyFill="1" applyBorder="1" applyAlignment="1" applyProtection="1">
      <alignment vertical="top"/>
    </xf>
    <xf numFmtId="49" fontId="19" fillId="0" borderId="4" xfId="32" applyNumberFormat="1" applyFont="1" applyFill="1" applyBorder="1" applyAlignment="1" applyProtection="1">
      <alignment horizontal="right" vertical="top"/>
    </xf>
    <xf numFmtId="1" fontId="19" fillId="0" borderId="4" xfId="32" applyNumberFormat="1" applyFont="1" applyFill="1" applyBorder="1" applyAlignment="1" applyProtection="1">
      <alignment horizontal="left" vertical="top"/>
    </xf>
    <xf numFmtId="167" fontId="19" fillId="0" borderId="4" xfId="32" applyNumberFormat="1" applyFont="1" applyFill="1" applyBorder="1" applyAlignment="1" applyProtection="1">
      <alignment horizontal="left" vertical="top" wrapText="1"/>
    </xf>
    <xf numFmtId="1" fontId="20" fillId="0" borderId="4" xfId="32" applyNumberFormat="1" applyFont="1" applyFill="1" applyBorder="1" applyAlignment="1" applyProtection="1">
      <alignment horizontal="left" vertical="top"/>
    </xf>
    <xf numFmtId="167" fontId="20" fillId="0" borderId="4" xfId="32" applyNumberFormat="1" applyFont="1" applyFill="1" applyBorder="1" applyAlignment="1" applyProtection="1">
      <alignment horizontal="left" vertical="top" wrapText="1"/>
    </xf>
    <xf numFmtId="167" fontId="19" fillId="0" borderId="4" xfId="32" applyNumberFormat="1" applyFont="1" applyFill="1" applyBorder="1" applyAlignment="1" applyProtection="1">
      <alignment vertical="top" wrapText="1"/>
    </xf>
    <xf numFmtId="167" fontId="33" fillId="0" borderId="4" xfId="32" applyNumberFormat="1" applyFont="1" applyFill="1" applyBorder="1" applyAlignment="1" applyProtection="1">
      <alignment horizontal="left" vertical="top" wrapText="1"/>
    </xf>
    <xf numFmtId="1" fontId="31" fillId="0" borderId="4" xfId="0" applyNumberFormat="1" applyFont="1" applyFill="1" applyBorder="1" applyAlignment="1" applyProtection="1">
      <alignment horizontal="left" vertical="top"/>
      <protection locked="0"/>
    </xf>
    <xf numFmtId="167" fontId="31" fillId="0" borderId="4" xfId="0" applyNumberFormat="1" applyFont="1" applyFill="1" applyBorder="1" applyAlignment="1" applyProtection="1">
      <alignment horizontal="left" vertical="top" wrapText="1"/>
      <protection locked="0"/>
    </xf>
    <xf numFmtId="1" fontId="31" fillId="0" borderId="4" xfId="32" applyNumberFormat="1" applyFont="1" applyFill="1" applyBorder="1" applyAlignment="1" applyProtection="1">
      <alignment horizontal="left" vertical="top"/>
    </xf>
    <xf numFmtId="0" fontId="33" fillId="0" borderId="4" xfId="32" applyFont="1" applyFill="1" applyBorder="1" applyAlignment="1" applyProtection="1">
      <alignment horizontal="left" vertical="top" wrapText="1"/>
    </xf>
    <xf numFmtId="164" fontId="36" fillId="0" borderId="4" xfId="32" applyNumberFormat="1" applyFont="1" applyFill="1" applyBorder="1" applyAlignment="1" applyProtection="1">
      <alignment horizontal="left" vertical="top"/>
    </xf>
    <xf numFmtId="0" fontId="33" fillId="0" borderId="4" xfId="0" applyFont="1" applyFill="1" applyBorder="1" applyAlignment="1">
      <alignment vertical="top"/>
    </xf>
    <xf numFmtId="1" fontId="36" fillId="0" borderId="4" xfId="0" applyNumberFormat="1" applyFont="1" applyFill="1" applyBorder="1" applyAlignment="1" applyProtection="1">
      <alignment horizontal="left" vertical="top"/>
      <protection locked="0"/>
    </xf>
    <xf numFmtId="167" fontId="36" fillId="0" borderId="4" xfId="0" applyNumberFormat="1" applyFont="1" applyFill="1" applyBorder="1" applyAlignment="1" applyProtection="1">
      <alignment horizontal="left" vertical="top" wrapText="1"/>
      <protection locked="0"/>
    </xf>
    <xf numFmtId="164" fontId="36" fillId="0" borderId="4" xfId="0" applyNumberFormat="1" applyFont="1" applyFill="1" applyBorder="1" applyAlignment="1" applyProtection="1">
      <alignment horizontal="left" vertical="top"/>
      <protection locked="0"/>
    </xf>
    <xf numFmtId="164" fontId="31" fillId="0" borderId="4" xfId="0" applyNumberFormat="1" applyFont="1" applyFill="1" applyBorder="1" applyAlignment="1" applyProtection="1">
      <alignment horizontal="left" vertical="top"/>
      <protection locked="0"/>
    </xf>
    <xf numFmtId="167" fontId="33" fillId="0" borderId="4" xfId="0" applyNumberFormat="1" applyFont="1" applyFill="1" applyBorder="1" applyAlignment="1">
      <alignment vertical="top" wrapText="1"/>
    </xf>
    <xf numFmtId="167" fontId="33" fillId="0" borderId="4" xfId="0" applyNumberFormat="1" applyFont="1" applyFill="1" applyBorder="1" applyAlignment="1">
      <alignment horizontal="left" vertical="top"/>
    </xf>
    <xf numFmtId="0" fontId="29" fillId="0" borderId="4" xfId="0" applyFont="1" applyFill="1" applyBorder="1" applyAlignment="1">
      <alignment vertical="top"/>
    </xf>
    <xf numFmtId="164" fontId="31" fillId="0" borderId="4" xfId="12" applyNumberFormat="1" applyFont="1" applyFill="1" applyBorder="1" applyAlignment="1">
      <alignment horizontal="left" vertical="top"/>
      <protection locked="0"/>
    </xf>
    <xf numFmtId="49" fontId="36" fillId="0" borderId="4" xfId="0" applyNumberFormat="1" applyFont="1" applyFill="1" applyBorder="1" applyAlignment="1">
      <alignment vertical="top"/>
    </xf>
    <xf numFmtId="49" fontId="29" fillId="0" borderId="4" xfId="0" applyNumberFormat="1" applyFont="1" applyFill="1" applyBorder="1" applyAlignment="1">
      <alignment vertical="top"/>
    </xf>
    <xf numFmtId="49" fontId="36" fillId="0" borderId="4" xfId="0" applyNumberFormat="1" applyFont="1" applyFill="1" applyBorder="1" applyAlignment="1">
      <alignment horizontal="left" vertical="top"/>
    </xf>
    <xf numFmtId="49" fontId="36" fillId="0" borderId="4" xfId="0" applyNumberFormat="1" applyFont="1" applyFill="1" applyBorder="1" applyAlignment="1">
      <alignment horizontal="left" vertical="top" wrapText="1"/>
    </xf>
    <xf numFmtId="164" fontId="36" fillId="0" borderId="4" xfId="12" applyNumberFormat="1" applyFont="1" applyFill="1" applyBorder="1" applyAlignment="1" applyProtection="1">
      <alignment horizontal="left" vertical="top" wrapText="1"/>
    </xf>
    <xf numFmtId="49" fontId="31" fillId="0" borderId="4" xfId="0" applyNumberFormat="1" applyFont="1" applyFill="1" applyBorder="1" applyAlignment="1">
      <alignment horizontal="left" vertical="top"/>
    </xf>
    <xf numFmtId="164" fontId="31" fillId="0" borderId="4" xfId="0" applyNumberFormat="1" applyFont="1" applyFill="1" applyBorder="1" applyAlignment="1">
      <alignment horizontal="left" vertical="top" wrapText="1"/>
    </xf>
    <xf numFmtId="49" fontId="32" fillId="0" borderId="4" xfId="0" applyNumberFormat="1" applyFont="1" applyFill="1" applyBorder="1" applyAlignment="1">
      <alignment horizontal="left" vertical="top"/>
    </xf>
    <xf numFmtId="49" fontId="33" fillId="0" borderId="4" xfId="0" applyNumberFormat="1" applyFont="1" applyFill="1" applyBorder="1" applyAlignment="1">
      <alignment horizontal="left" vertical="top" wrapText="1"/>
    </xf>
    <xf numFmtId="164" fontId="36" fillId="0" borderId="4" xfId="12" applyNumberFormat="1" applyFont="1" applyFill="1" applyBorder="1" applyAlignment="1" applyProtection="1">
      <alignment horizontal="center" vertical="top" wrapText="1"/>
    </xf>
    <xf numFmtId="49" fontId="19" fillId="0" borderId="4" xfId="0" applyNumberFormat="1" applyFont="1" applyFill="1" applyBorder="1" applyAlignment="1">
      <alignment horizontal="left" vertical="top"/>
    </xf>
    <xf numFmtId="49" fontId="19" fillId="0" borderId="4" xfId="0" applyNumberFormat="1" applyFont="1" applyFill="1" applyBorder="1" applyAlignment="1">
      <alignment vertical="top" wrapText="1"/>
    </xf>
    <xf numFmtId="49" fontId="19" fillId="0" borderId="4" xfId="0" applyNumberFormat="1" applyFont="1" applyFill="1" applyBorder="1" applyAlignment="1">
      <alignment horizontal="left" vertical="top" wrapText="1"/>
    </xf>
    <xf numFmtId="164" fontId="19" fillId="0" borderId="4" xfId="12" applyNumberFormat="1" applyFont="1" applyFill="1" applyBorder="1" applyAlignment="1" applyProtection="1">
      <alignment horizontal="left" vertical="top" wrapText="1"/>
    </xf>
    <xf numFmtId="164" fontId="29" fillId="0" borderId="4" xfId="0" applyNumberFormat="1" applyFont="1" applyFill="1" applyBorder="1" applyAlignment="1">
      <alignment vertical="top"/>
    </xf>
    <xf numFmtId="49" fontId="20" fillId="0" borderId="4" xfId="0" applyNumberFormat="1" applyFont="1" applyFill="1" applyBorder="1" applyAlignment="1">
      <alignment horizontal="left" vertical="top"/>
    </xf>
    <xf numFmtId="49" fontId="20" fillId="0" borderId="4" xfId="0" applyNumberFormat="1" applyFont="1" applyFill="1" applyBorder="1" applyAlignment="1">
      <alignment vertical="top" wrapText="1"/>
    </xf>
    <xf numFmtId="0" fontId="33" fillId="0" borderId="4" xfId="0" applyFont="1" applyFill="1" applyBorder="1" applyAlignment="1" applyProtection="1">
      <alignment horizontal="left" vertical="top"/>
      <protection locked="0"/>
    </xf>
    <xf numFmtId="0" fontId="32" fillId="0" borderId="4" xfId="0" applyFont="1" applyFill="1" applyBorder="1" applyAlignment="1" applyProtection="1">
      <alignment vertical="top" wrapText="1"/>
      <protection locked="0"/>
    </xf>
    <xf numFmtId="166" fontId="32" fillId="0" borderId="4" xfId="12" applyNumberFormat="1" applyFont="1" applyFill="1" applyBorder="1" applyAlignment="1">
      <alignment vertical="top" wrapText="1"/>
      <protection locked="0"/>
    </xf>
    <xf numFmtId="0" fontId="33" fillId="0" borderId="4" xfId="0" applyFont="1" applyFill="1" applyBorder="1" applyAlignment="1" applyProtection="1">
      <alignment vertical="top" wrapText="1"/>
      <protection locked="0"/>
    </xf>
    <xf numFmtId="166" fontId="33" fillId="0" borderId="4" xfId="12" applyNumberFormat="1" applyFont="1" applyFill="1" applyBorder="1" applyAlignment="1">
      <alignment vertical="top" wrapText="1"/>
      <protection locked="0"/>
    </xf>
    <xf numFmtId="0" fontId="36" fillId="0" borderId="4" xfId="0" applyFont="1" applyFill="1" applyBorder="1" applyAlignment="1" applyProtection="1">
      <alignment horizontal="left" vertical="top"/>
      <protection locked="0"/>
    </xf>
    <xf numFmtId="0" fontId="36" fillId="0" borderId="4" xfId="0" applyFont="1" applyFill="1" applyBorder="1" applyAlignment="1" applyProtection="1">
      <alignment vertical="top" wrapText="1"/>
      <protection locked="0"/>
    </xf>
    <xf numFmtId="166" fontId="36" fillId="0" borderId="4" xfId="12" applyNumberFormat="1" applyFont="1" applyFill="1" applyBorder="1" applyAlignment="1" applyProtection="1">
      <alignment vertical="top" wrapText="1"/>
    </xf>
    <xf numFmtId="0" fontId="31" fillId="0" borderId="4" xfId="0" applyFont="1" applyFill="1" applyBorder="1" applyAlignment="1" applyProtection="1">
      <alignment horizontal="left" vertical="top"/>
      <protection locked="0"/>
    </xf>
    <xf numFmtId="0" fontId="31" fillId="0" borderId="4" xfId="0" applyFont="1" applyFill="1" applyBorder="1" applyAlignment="1" applyProtection="1">
      <alignment vertical="top" wrapText="1"/>
      <protection locked="0"/>
    </xf>
    <xf numFmtId="166" fontId="20" fillId="0" borderId="4" xfId="0" applyNumberFormat="1" applyFont="1" applyFill="1" applyBorder="1" applyAlignment="1" applyProtection="1">
      <alignment vertical="top" wrapText="1"/>
      <protection locked="0"/>
    </xf>
    <xf numFmtId="166" fontId="31" fillId="0" borderId="4" xfId="12" applyNumberFormat="1" applyFont="1" applyFill="1" applyBorder="1" applyAlignment="1">
      <alignment vertical="top" wrapText="1"/>
      <protection locked="0"/>
    </xf>
    <xf numFmtId="49" fontId="36" fillId="0" borderId="4" xfId="0" applyNumberFormat="1" applyFont="1" applyFill="1" applyBorder="1" applyAlignment="1" applyProtection="1">
      <alignment horizontal="left" vertical="top"/>
      <protection locked="0"/>
    </xf>
    <xf numFmtId="167" fontId="36" fillId="0" borderId="4" xfId="0" applyNumberFormat="1" applyFont="1" applyFill="1" applyBorder="1" applyAlignment="1" applyProtection="1">
      <alignment vertical="top" wrapText="1"/>
      <protection locked="0"/>
    </xf>
    <xf numFmtId="49" fontId="31" fillId="0" borderId="4" xfId="0" applyNumberFormat="1" applyFont="1" applyFill="1" applyBorder="1" applyAlignment="1" applyProtection="1">
      <alignment horizontal="left" vertical="top"/>
      <protection locked="0"/>
    </xf>
    <xf numFmtId="49" fontId="31" fillId="0" borderId="4" xfId="0" applyNumberFormat="1" applyFont="1" applyFill="1" applyBorder="1" applyAlignment="1" applyProtection="1">
      <alignment vertical="top" wrapText="1"/>
      <protection locked="0"/>
    </xf>
    <xf numFmtId="167" fontId="31" fillId="0" borderId="4" xfId="0" applyNumberFormat="1" applyFont="1" applyFill="1" applyBorder="1" applyAlignment="1" applyProtection="1">
      <alignment vertical="top" wrapText="1"/>
      <protection locked="0"/>
    </xf>
    <xf numFmtId="49" fontId="36" fillId="0" borderId="4" xfId="0" applyNumberFormat="1" applyFont="1" applyFill="1" applyBorder="1" applyAlignment="1" applyProtection="1">
      <alignment horizontal="left" vertical="top" wrapText="1"/>
      <protection locked="0"/>
    </xf>
    <xf numFmtId="166" fontId="19" fillId="0" borderId="4" xfId="0" applyNumberFormat="1" applyFont="1" applyFill="1" applyBorder="1" applyAlignment="1">
      <alignment vertical="top" wrapText="1"/>
    </xf>
    <xf numFmtId="0" fontId="31" fillId="0" borderId="4" xfId="0" applyFont="1" applyFill="1" applyBorder="1" applyAlignment="1" applyProtection="1">
      <alignment horizontal="left" vertical="top" wrapText="1"/>
      <protection locked="0"/>
    </xf>
    <xf numFmtId="0" fontId="32" fillId="0" borderId="4" xfId="0" applyFont="1" applyFill="1" applyBorder="1" applyAlignment="1" applyProtection="1">
      <alignment horizontal="left" vertical="top"/>
      <protection locked="0"/>
    </xf>
    <xf numFmtId="166" fontId="33" fillId="0" borderId="4" xfId="12" applyNumberFormat="1" applyFont="1" applyFill="1" applyBorder="1" applyAlignment="1" applyProtection="1">
      <alignment vertical="top" wrapText="1"/>
    </xf>
    <xf numFmtId="166" fontId="41" fillId="0" borderId="4" xfId="12" applyNumberFormat="1" applyFont="1" applyFill="1" applyBorder="1" applyAlignment="1" applyProtection="1">
      <alignment vertical="top" wrapText="1"/>
    </xf>
    <xf numFmtId="171" fontId="31" fillId="0" borderId="4" xfId="0" applyNumberFormat="1" applyFont="1" applyFill="1" applyBorder="1" applyAlignment="1" applyProtection="1">
      <alignment horizontal="left" vertical="top" wrapText="1"/>
      <protection locked="0"/>
    </xf>
    <xf numFmtId="172" fontId="20" fillId="0" borderId="4" xfId="12" applyNumberFormat="1" applyFont="1" applyFill="1" applyBorder="1" applyAlignment="1">
      <alignment horizontal="left" vertical="top" wrapText="1"/>
      <protection locked="0"/>
    </xf>
    <xf numFmtId="166" fontId="31" fillId="0" borderId="4" xfId="0" applyNumberFormat="1" applyFont="1" applyFill="1" applyBorder="1" applyAlignment="1" applyProtection="1">
      <alignment vertical="top" wrapText="1"/>
      <protection locked="0"/>
    </xf>
    <xf numFmtId="166" fontId="42" fillId="0" borderId="4" xfId="0" applyNumberFormat="1" applyFont="1" applyFill="1" applyBorder="1" applyAlignment="1" applyProtection="1">
      <alignment vertical="top" wrapText="1"/>
      <protection locked="0"/>
    </xf>
    <xf numFmtId="166" fontId="43" fillId="0" borderId="4" xfId="0" applyNumberFormat="1" applyFont="1" applyFill="1" applyBorder="1" applyAlignment="1">
      <alignment vertical="top" wrapText="1"/>
    </xf>
    <xf numFmtId="0" fontId="30" fillId="0" borderId="4" xfId="0" applyFont="1" applyFill="1" applyBorder="1" applyAlignment="1">
      <alignment vertical="top"/>
    </xf>
    <xf numFmtId="166" fontId="33" fillId="0" borderId="4" xfId="1" applyNumberFormat="1" applyFont="1" applyFill="1" applyBorder="1" applyAlignment="1">
      <alignment vertical="top" wrapText="1"/>
      <protection locked="0"/>
    </xf>
    <xf numFmtId="0" fontId="33" fillId="0" borderId="4" xfId="0" applyFont="1" applyFill="1" applyBorder="1" applyAlignment="1" applyProtection="1">
      <alignment vertical="top"/>
      <protection locked="0"/>
    </xf>
    <xf numFmtId="166" fontId="33" fillId="0" borderId="4" xfId="0" applyNumberFormat="1" applyFont="1" applyFill="1" applyBorder="1" applyAlignment="1">
      <alignment vertical="top"/>
    </xf>
    <xf numFmtId="0" fontId="44" fillId="0" borderId="4" xfId="0" applyFont="1" applyFill="1" applyBorder="1" applyAlignment="1" applyProtection="1">
      <alignment vertical="top"/>
      <protection locked="0"/>
    </xf>
    <xf numFmtId="166" fontId="44" fillId="0" borderId="4" xfId="0" applyNumberFormat="1" applyFont="1" applyFill="1" applyBorder="1" applyAlignment="1">
      <alignment vertical="top"/>
    </xf>
    <xf numFmtId="1" fontId="30" fillId="0" borderId="4" xfId="0" applyNumberFormat="1" applyFont="1" applyFill="1" applyBorder="1" applyAlignment="1">
      <alignment vertical="top"/>
    </xf>
    <xf numFmtId="166" fontId="33" fillId="0" borderId="4" xfId="1" applyNumberFormat="1" applyFont="1" applyFill="1" applyBorder="1" applyAlignment="1">
      <alignment vertical="top"/>
      <protection locked="0"/>
    </xf>
    <xf numFmtId="0" fontId="31" fillId="0" borderId="4" xfId="0" applyFont="1" applyFill="1" applyBorder="1" applyAlignment="1">
      <alignment horizontal="left" vertical="top"/>
    </xf>
    <xf numFmtId="0" fontId="33" fillId="0" borderId="4" xfId="0" applyFont="1" applyFill="1" applyBorder="1" applyAlignment="1">
      <alignment horizontal="left" vertical="top"/>
    </xf>
    <xf numFmtId="166" fontId="33" fillId="0" borderId="4" xfId="0" applyNumberFormat="1" applyFont="1" applyFill="1" applyBorder="1" applyAlignment="1">
      <alignment horizontal="left" vertical="top"/>
    </xf>
    <xf numFmtId="166" fontId="32" fillId="0" borderId="4" xfId="12" applyNumberFormat="1" applyFont="1" applyFill="1" applyBorder="1" applyAlignment="1" applyProtection="1">
      <alignment horizontal="left" vertical="top"/>
    </xf>
    <xf numFmtId="0" fontId="19" fillId="0" borderId="4" xfId="0" applyFont="1" applyFill="1" applyBorder="1" applyAlignment="1">
      <alignment horizontal="left" vertical="top"/>
    </xf>
    <xf numFmtId="166" fontId="20" fillId="0" borderId="4" xfId="12" applyNumberFormat="1" applyFont="1" applyFill="1" applyBorder="1" applyAlignment="1" applyProtection="1">
      <alignment horizontal="left" vertical="top"/>
    </xf>
    <xf numFmtId="0" fontId="36" fillId="0" borderId="4" xfId="0" applyFont="1" applyFill="1" applyBorder="1" applyAlignment="1">
      <alignment horizontal="left" vertical="top"/>
    </xf>
    <xf numFmtId="0" fontId="36" fillId="0" borderId="4" xfId="29" applyFont="1" applyFill="1" applyBorder="1" applyAlignment="1" applyProtection="1">
      <alignment horizontal="left" vertical="top"/>
    </xf>
    <xf numFmtId="0" fontId="36" fillId="0" borderId="4" xfId="29" applyFont="1" applyFill="1" applyBorder="1" applyAlignment="1" applyProtection="1">
      <alignment horizontal="left" vertical="top" wrapText="1"/>
    </xf>
    <xf numFmtId="166" fontId="36" fillId="0" borderId="4" xfId="12" applyNumberFormat="1" applyFont="1" applyFill="1" applyBorder="1" applyAlignment="1">
      <alignment horizontal="left" vertical="top"/>
      <protection locked="0"/>
    </xf>
    <xf numFmtId="0" fontId="37" fillId="0" borderId="4" xfId="0" applyFont="1" applyFill="1" applyBorder="1" applyAlignment="1">
      <alignment horizontal="left" vertical="top"/>
    </xf>
    <xf numFmtId="0" fontId="31" fillId="0" borderId="4" xfId="29" applyFont="1" applyFill="1" applyBorder="1" applyAlignment="1" applyProtection="1">
      <alignment horizontal="left" vertical="top"/>
    </xf>
    <xf numFmtId="0" fontId="31" fillId="0" borderId="4" xfId="29" applyFont="1" applyFill="1" applyBorder="1" applyAlignment="1" applyProtection="1">
      <alignment horizontal="left" vertical="top" wrapText="1"/>
    </xf>
    <xf numFmtId="166" fontId="31" fillId="0" borderId="4" xfId="12" applyNumberFormat="1" applyFont="1" applyFill="1" applyBorder="1" applyAlignment="1">
      <alignment horizontal="left" vertical="top"/>
      <protection locked="0"/>
    </xf>
    <xf numFmtId="0" fontId="20" fillId="0" borderId="4" xfId="29" applyFont="1" applyFill="1" applyBorder="1" applyAlignment="1" applyProtection="1">
      <alignment horizontal="left" vertical="top"/>
    </xf>
    <xf numFmtId="0" fontId="38" fillId="0" borderId="4" xfId="0" applyFont="1" applyFill="1" applyBorder="1" applyAlignment="1">
      <alignment horizontal="left" vertical="top"/>
    </xf>
    <xf numFmtId="0" fontId="19" fillId="0" borderId="4" xfId="29" applyFont="1" applyFill="1" applyBorder="1" applyAlignment="1" applyProtection="1">
      <alignment horizontal="left" vertical="top"/>
    </xf>
    <xf numFmtId="166" fontId="19" fillId="0" borderId="4" xfId="29" applyNumberFormat="1" applyFont="1" applyFill="1" applyBorder="1" applyAlignment="1" applyProtection="1">
      <alignment horizontal="left" vertical="top" wrapText="1"/>
    </xf>
    <xf numFmtId="166" fontId="19" fillId="0" borderId="4" xfId="12" applyNumberFormat="1" applyFont="1" applyFill="1" applyBorder="1" applyAlignment="1" applyProtection="1">
      <alignment horizontal="left" vertical="top"/>
    </xf>
    <xf numFmtId="49" fontId="45" fillId="0" borderId="4" xfId="0" applyNumberFormat="1" applyFont="1" applyFill="1" applyBorder="1" applyAlignment="1">
      <alignment horizontal="left" vertical="top"/>
    </xf>
    <xf numFmtId="0" fontId="45" fillId="0" borderId="4" xfId="0" applyFont="1" applyFill="1" applyBorder="1" applyAlignment="1">
      <alignment horizontal="left" vertical="top"/>
    </xf>
    <xf numFmtId="0" fontId="45" fillId="0" borderId="4" xfId="0" applyFont="1" applyFill="1" applyBorder="1" applyAlignment="1">
      <alignment horizontal="left" vertical="top" wrapText="1"/>
    </xf>
    <xf numFmtId="166" fontId="45" fillId="0" borderId="4" xfId="12" applyNumberFormat="1" applyFont="1" applyFill="1" applyBorder="1" applyAlignment="1" applyProtection="1">
      <alignment horizontal="left" vertical="top"/>
    </xf>
    <xf numFmtId="166" fontId="31" fillId="0" borderId="4" xfId="12" applyNumberFormat="1" applyFont="1" applyFill="1" applyBorder="1" applyAlignment="1" applyProtection="1">
      <alignment horizontal="left" vertical="top"/>
    </xf>
    <xf numFmtId="165" fontId="20" fillId="0" borderId="4" xfId="1" applyFont="1" applyFill="1" applyBorder="1" applyAlignment="1">
      <alignment vertical="top"/>
      <protection locked="0"/>
    </xf>
    <xf numFmtId="165" fontId="36" fillId="0" borderId="4" xfId="12" applyFont="1" applyFill="1" applyBorder="1" applyAlignment="1">
      <alignment horizontal="left" vertical="top"/>
      <protection locked="0"/>
    </xf>
    <xf numFmtId="171" fontId="36" fillId="0" borderId="4" xfId="0" applyNumberFormat="1" applyFont="1" applyFill="1" applyBorder="1" applyAlignment="1">
      <alignment horizontal="left" vertical="top" wrapText="1"/>
    </xf>
    <xf numFmtId="49" fontId="46" fillId="0" borderId="4" xfId="0" applyNumberFormat="1" applyFont="1" applyFill="1" applyBorder="1" applyAlignment="1">
      <alignment horizontal="left" vertical="top"/>
    </xf>
    <xf numFmtId="49" fontId="33" fillId="0" borderId="4" xfId="0" applyNumberFormat="1" applyFont="1" applyFill="1" applyBorder="1" applyAlignment="1">
      <alignment horizontal="left" vertical="top"/>
    </xf>
    <xf numFmtId="166" fontId="33" fillId="0" borderId="4" xfId="12" applyNumberFormat="1" applyFont="1" applyFill="1" applyBorder="1" applyAlignment="1" applyProtection="1">
      <alignment horizontal="left" vertical="top"/>
    </xf>
    <xf numFmtId="49" fontId="37" fillId="0" borderId="4" xfId="0" applyNumberFormat="1" applyFont="1" applyFill="1" applyBorder="1" applyAlignment="1">
      <alignment horizontal="left" vertical="top"/>
    </xf>
    <xf numFmtId="165" fontId="31" fillId="0" borderId="4" xfId="12" applyFont="1" applyFill="1" applyBorder="1" applyAlignment="1">
      <alignment horizontal="left" vertical="top"/>
      <protection locked="0"/>
    </xf>
    <xf numFmtId="166" fontId="36" fillId="0" borderId="4" xfId="12" applyNumberFormat="1" applyFont="1" applyFill="1" applyBorder="1" applyAlignment="1" applyProtection="1">
      <alignment horizontal="left" vertical="top"/>
    </xf>
    <xf numFmtId="43" fontId="33" fillId="0" borderId="4" xfId="0" applyNumberFormat="1" applyFont="1" applyFill="1" applyBorder="1" applyAlignment="1">
      <alignment horizontal="left" vertical="top"/>
    </xf>
    <xf numFmtId="43" fontId="36" fillId="0" borderId="4" xfId="0" applyNumberFormat="1" applyFont="1" applyFill="1" applyBorder="1" applyAlignment="1">
      <alignment horizontal="left" vertical="top"/>
    </xf>
    <xf numFmtId="49" fontId="47" fillId="0" borderId="4" xfId="0" applyNumberFormat="1" applyFont="1" applyFill="1" applyBorder="1" applyAlignment="1">
      <alignment horizontal="left" vertical="top"/>
    </xf>
    <xf numFmtId="0" fontId="47" fillId="0" borderId="4" xfId="0" applyFont="1" applyFill="1" applyBorder="1" applyAlignment="1">
      <alignment horizontal="left" vertical="top"/>
    </xf>
    <xf numFmtId="0" fontId="47" fillId="0" borderId="4" xfId="0" applyFont="1" applyFill="1" applyBorder="1" applyAlignment="1">
      <alignment horizontal="left" vertical="top" wrapText="1"/>
    </xf>
    <xf numFmtId="166" fontId="47" fillId="0" borderId="4" xfId="12" applyNumberFormat="1" applyFont="1" applyFill="1" applyBorder="1" applyAlignment="1" applyProtection="1">
      <alignment horizontal="left" vertical="top"/>
    </xf>
    <xf numFmtId="170" fontId="36" fillId="0" borderId="4" xfId="0" applyNumberFormat="1" applyFont="1" applyFill="1" applyBorder="1" applyAlignment="1">
      <alignment horizontal="left" vertical="top"/>
    </xf>
    <xf numFmtId="170" fontId="36" fillId="0" borderId="4" xfId="0" applyNumberFormat="1" applyFont="1" applyFill="1" applyBorder="1" applyAlignment="1">
      <alignment horizontal="left" vertical="top" wrapText="1"/>
    </xf>
    <xf numFmtId="0" fontId="32" fillId="0" borderId="4" xfId="0" applyFont="1" applyFill="1" applyBorder="1" applyAlignment="1">
      <alignment horizontal="left" vertical="top"/>
    </xf>
    <xf numFmtId="0" fontId="48" fillId="0" borderId="4" xfId="0" applyFont="1" applyFill="1" applyBorder="1" applyAlignment="1">
      <alignment horizontal="left" vertical="top"/>
    </xf>
    <xf numFmtId="167" fontId="32" fillId="0" borderId="4" xfId="0" applyNumberFormat="1" applyFont="1" applyFill="1" applyBorder="1" applyAlignment="1">
      <alignment horizontal="left" vertical="top"/>
    </xf>
    <xf numFmtId="0" fontId="49" fillId="0" borderId="4" xfId="12" applyNumberFormat="1" applyFont="1" applyFill="1" applyBorder="1" applyAlignment="1" applyProtection="1">
      <alignment horizontal="left" vertical="top"/>
    </xf>
    <xf numFmtId="166" fontId="31" fillId="0" borderId="4" xfId="12" applyNumberFormat="1" applyFont="1" applyFill="1" applyBorder="1" applyAlignment="1" applyProtection="1">
      <alignment horizontal="left" vertical="top" wrapText="1"/>
    </xf>
    <xf numFmtId="0" fontId="31" fillId="0" borderId="4" xfId="12" applyNumberFormat="1" applyFont="1" applyFill="1" applyBorder="1" applyAlignment="1" applyProtection="1">
      <alignment horizontal="left" vertical="top"/>
    </xf>
    <xf numFmtId="0" fontId="36" fillId="0" borderId="4" xfId="12" applyNumberFormat="1" applyFont="1" applyFill="1" applyBorder="1" applyAlignment="1" applyProtection="1">
      <alignment horizontal="left" vertical="top"/>
    </xf>
    <xf numFmtId="166" fontId="33" fillId="0" borderId="4" xfId="12" applyNumberFormat="1" applyFont="1" applyFill="1" applyBorder="1" applyAlignment="1" applyProtection="1">
      <alignment horizontal="left" vertical="top" wrapText="1"/>
    </xf>
    <xf numFmtId="166" fontId="49" fillId="0" borderId="4" xfId="12" applyNumberFormat="1" applyFont="1" applyFill="1" applyBorder="1" applyAlignment="1" applyProtection="1">
      <alignment horizontal="left" vertical="top"/>
    </xf>
    <xf numFmtId="0" fontId="32" fillId="0" borderId="4" xfId="0" applyFont="1" applyFill="1" applyBorder="1" applyAlignment="1">
      <alignment vertical="top" wrapText="1"/>
    </xf>
    <xf numFmtId="166" fontId="32" fillId="0" borderId="4" xfId="1" applyNumberFormat="1" applyFont="1" applyFill="1" applyBorder="1" applyAlignment="1" applyProtection="1">
      <alignment vertical="top"/>
    </xf>
    <xf numFmtId="173" fontId="29" fillId="0" borderId="4" xfId="0" applyNumberFormat="1" applyFont="1" applyFill="1" applyBorder="1" applyAlignment="1">
      <alignment vertical="top"/>
    </xf>
    <xf numFmtId="0" fontId="33" fillId="0" borderId="4" xfId="0" applyFont="1" applyFill="1" applyBorder="1" applyAlignment="1">
      <alignment vertical="top" wrapText="1"/>
    </xf>
    <xf numFmtId="166" fontId="29" fillId="0" borderId="4" xfId="0" applyNumberFormat="1" applyFont="1" applyFill="1" applyBorder="1" applyAlignment="1">
      <alignment vertical="top"/>
    </xf>
    <xf numFmtId="0" fontId="36" fillId="0" borderId="4" xfId="0" applyFont="1" applyFill="1" applyBorder="1" applyAlignment="1">
      <alignment vertical="top" wrapText="1"/>
    </xf>
    <xf numFmtId="166" fontId="36" fillId="0" borderId="4" xfId="12" applyNumberFormat="1" applyFont="1" applyFill="1" applyBorder="1" applyAlignment="1" applyProtection="1">
      <alignment vertical="top"/>
    </xf>
    <xf numFmtId="0" fontId="31" fillId="0" borderId="4" xfId="0" applyFont="1" applyFill="1" applyBorder="1" applyAlignment="1">
      <alignment vertical="top" wrapText="1"/>
    </xf>
    <xf numFmtId="166" fontId="31" fillId="0" borderId="4" xfId="0" applyNumberFormat="1" applyFont="1" applyFill="1" applyBorder="1" applyAlignment="1">
      <alignment vertical="top"/>
    </xf>
    <xf numFmtId="166" fontId="31" fillId="0" borderId="4" xfId="12" applyNumberFormat="1" applyFont="1" applyFill="1" applyBorder="1" applyAlignment="1" applyProtection="1">
      <alignment vertical="top"/>
    </xf>
    <xf numFmtId="166" fontId="31" fillId="0" borderId="4" xfId="12" applyNumberFormat="1" applyFont="1" applyFill="1" applyBorder="1" applyAlignment="1" applyProtection="1">
      <alignment horizontal="right" vertical="top"/>
    </xf>
    <xf numFmtId="166" fontId="33" fillId="0" borderId="4" xfId="1" applyNumberFormat="1" applyFont="1" applyFill="1" applyBorder="1" applyAlignment="1" applyProtection="1">
      <alignment vertical="top" wrapText="1"/>
    </xf>
    <xf numFmtId="166" fontId="36" fillId="0" borderId="4" xfId="1" applyNumberFormat="1" applyFont="1" applyFill="1" applyBorder="1" applyAlignment="1" applyProtection="1">
      <alignment vertical="top"/>
    </xf>
    <xf numFmtId="166" fontId="33" fillId="0" borderId="4" xfId="1" applyNumberFormat="1" applyFont="1" applyFill="1" applyBorder="1" applyAlignment="1" applyProtection="1">
      <alignment vertical="top"/>
    </xf>
    <xf numFmtId="166" fontId="31" fillId="0" borderId="4" xfId="1" applyNumberFormat="1" applyFont="1" applyFill="1" applyBorder="1" applyAlignment="1" applyProtection="1">
      <alignment vertical="top"/>
    </xf>
    <xf numFmtId="0" fontId="19" fillId="0" borderId="4" xfId="0" applyFont="1" applyFill="1" applyBorder="1" applyAlignment="1">
      <alignment vertical="top" wrapText="1"/>
    </xf>
    <xf numFmtId="166" fontId="19" fillId="0" borderId="4" xfId="1" applyNumberFormat="1" applyFont="1" applyFill="1" applyBorder="1" applyAlignment="1" applyProtection="1">
      <alignment vertical="top"/>
    </xf>
    <xf numFmtId="166" fontId="32" fillId="0" borderId="4" xfId="1" applyNumberFormat="1" applyFont="1" applyFill="1" applyBorder="1" applyAlignment="1" applyProtection="1">
      <alignment horizontal="right" vertical="top"/>
    </xf>
    <xf numFmtId="0" fontId="20" fillId="0" borderId="4" xfId="0" applyFont="1" applyFill="1" applyBorder="1" applyAlignment="1">
      <alignment vertical="top"/>
    </xf>
    <xf numFmtId="166" fontId="20" fillId="0" borderId="4" xfId="12" applyNumberFormat="1" applyFont="1" applyFill="1" applyBorder="1" applyAlignment="1" applyProtection="1">
      <alignment vertical="top"/>
    </xf>
    <xf numFmtId="166" fontId="19" fillId="0" borderId="4" xfId="12" applyNumberFormat="1" applyFont="1" applyFill="1" applyBorder="1" applyAlignment="1" applyProtection="1">
      <alignment vertical="top"/>
    </xf>
    <xf numFmtId="49" fontId="30" fillId="0" borderId="4" xfId="0" applyNumberFormat="1" applyFont="1" applyFill="1" applyBorder="1" applyAlignment="1">
      <alignment horizontal="left" vertical="top"/>
    </xf>
    <xf numFmtId="0" fontId="30" fillId="0" borderId="4" xfId="0" applyFont="1" applyFill="1" applyBorder="1" applyAlignment="1">
      <alignment horizontal="left" vertical="top" wrapText="1"/>
    </xf>
    <xf numFmtId="164" fontId="29" fillId="0" borderId="4" xfId="12" applyNumberFormat="1" applyFont="1" applyFill="1" applyBorder="1" applyAlignment="1" applyProtection="1">
      <alignment horizontal="left" vertical="top"/>
    </xf>
    <xf numFmtId="166" fontId="29" fillId="0" borderId="4" xfId="12" applyNumberFormat="1" applyFont="1" applyFill="1" applyBorder="1" applyAlignment="1" applyProtection="1">
      <alignment horizontal="center" vertical="top"/>
    </xf>
    <xf numFmtId="0" fontId="29" fillId="0" borderId="4" xfId="0" applyFont="1" applyFill="1" applyBorder="1" applyAlignment="1">
      <alignment horizontal="left" vertical="top"/>
    </xf>
    <xf numFmtId="170" fontId="30" fillId="0" borderId="4" xfId="0" applyNumberFormat="1" applyFont="1" applyFill="1" applyBorder="1" applyAlignment="1">
      <alignment horizontal="left" vertical="top"/>
    </xf>
    <xf numFmtId="170" fontId="30" fillId="0" borderId="4" xfId="0" applyNumberFormat="1" applyFont="1" applyFill="1" applyBorder="1" applyAlignment="1">
      <alignment horizontal="left" vertical="top" wrapText="1"/>
    </xf>
    <xf numFmtId="0" fontId="30" fillId="0" borderId="4" xfId="3" applyNumberFormat="1" applyFont="1" applyFill="1" applyBorder="1" applyAlignment="1" applyProtection="1">
      <alignment horizontal="left" vertical="top"/>
    </xf>
    <xf numFmtId="164" fontId="30" fillId="0" borderId="4" xfId="12" applyNumberFormat="1" applyFont="1" applyFill="1" applyBorder="1" applyAlignment="1" applyProtection="1">
      <alignment horizontal="left" vertical="top"/>
    </xf>
    <xf numFmtId="0" fontId="29" fillId="0" borderId="4" xfId="3" applyNumberFormat="1" applyFont="1" applyFill="1" applyBorder="1" applyAlignment="1" applyProtection="1">
      <alignment horizontal="left" vertical="top"/>
    </xf>
    <xf numFmtId="170" fontId="29" fillId="0" borderId="4" xfId="0" applyNumberFormat="1" applyFont="1" applyFill="1" applyBorder="1" applyAlignment="1">
      <alignment horizontal="left" vertical="top" wrapText="1"/>
    </xf>
    <xf numFmtId="3" fontId="50" fillId="0" borderId="0" xfId="0" applyNumberFormat="1" applyFont="1" applyFill="1" applyAlignment="1">
      <alignment vertical="top"/>
    </xf>
    <xf numFmtId="166" fontId="29" fillId="0" borderId="4" xfId="12" applyNumberFormat="1" applyFont="1" applyFill="1" applyBorder="1" applyAlignment="1" applyProtection="1">
      <alignment horizontal="left" vertical="top"/>
    </xf>
    <xf numFmtId="166" fontId="30" fillId="0" borderId="4" xfId="12" applyNumberFormat="1" applyFont="1" applyFill="1" applyBorder="1" applyAlignment="1" applyProtection="1">
      <alignment horizontal="left" vertical="top"/>
    </xf>
    <xf numFmtId="167" fontId="30" fillId="0" borderId="4" xfId="0" applyNumberFormat="1" applyFont="1" applyFill="1" applyBorder="1" applyAlignment="1">
      <alignment horizontal="left" vertical="top" wrapText="1"/>
    </xf>
    <xf numFmtId="166" fontId="30" fillId="0" borderId="4" xfId="12" applyNumberFormat="1" applyFont="1" applyFill="1" applyBorder="1" applyAlignment="1" applyProtection="1">
      <alignment horizontal="center" vertical="top"/>
    </xf>
    <xf numFmtId="164" fontId="30" fillId="0" borderId="4" xfId="12" applyNumberFormat="1" applyFont="1" applyFill="1" applyBorder="1" applyAlignment="1" applyProtection="1">
      <alignment horizontal="center" vertical="top"/>
    </xf>
    <xf numFmtId="49" fontId="29" fillId="0" borderId="4" xfId="0" applyNumberFormat="1" applyFont="1" applyFill="1" applyBorder="1" applyAlignment="1">
      <alignment horizontal="left" vertical="top"/>
    </xf>
    <xf numFmtId="167" fontId="29" fillId="0" borderId="4" xfId="0" applyNumberFormat="1" applyFont="1" applyFill="1" applyBorder="1" applyAlignment="1">
      <alignment horizontal="left" vertical="top" wrapText="1"/>
    </xf>
    <xf numFmtId="0" fontId="29" fillId="0" borderId="4" xfId="0" applyFont="1" applyFill="1" applyBorder="1" applyAlignment="1">
      <alignment horizontal="left" vertical="top" wrapText="1"/>
    </xf>
    <xf numFmtId="164" fontId="29" fillId="0" borderId="4" xfId="12" applyNumberFormat="1" applyFont="1" applyFill="1" applyBorder="1" applyAlignment="1" applyProtection="1">
      <alignment horizontal="center" vertical="top"/>
    </xf>
    <xf numFmtId="170" fontId="29" fillId="0" borderId="4" xfId="29" applyNumberFormat="1" applyFont="1" applyFill="1" applyBorder="1" applyAlignment="1" applyProtection="1">
      <alignment horizontal="left" vertical="top" wrapText="1"/>
    </xf>
    <xf numFmtId="170" fontId="30" fillId="0" borderId="4" xfId="29" applyNumberFormat="1" applyFont="1" applyFill="1" applyBorder="1" applyAlignment="1" applyProtection="1">
      <alignment horizontal="left" vertical="top" wrapText="1"/>
    </xf>
    <xf numFmtId="0" fontId="30" fillId="0" borderId="4" xfId="3" applyNumberFormat="1" applyFont="1" applyFill="1" applyBorder="1" applyAlignment="1" applyProtection="1">
      <alignment horizontal="left" vertical="top" wrapText="1"/>
    </xf>
    <xf numFmtId="170" fontId="30" fillId="0" borderId="4" xfId="0" applyNumberFormat="1" applyFont="1" applyFill="1" applyBorder="1" applyAlignment="1">
      <alignment vertical="top" wrapText="1"/>
    </xf>
    <xf numFmtId="170" fontId="30" fillId="0" borderId="4" xfId="0" applyNumberFormat="1" applyFont="1" applyFill="1" applyBorder="1" applyAlignment="1">
      <alignment vertical="top"/>
    </xf>
    <xf numFmtId="166" fontId="30" fillId="0" borderId="4" xfId="0" applyNumberFormat="1" applyFont="1" applyFill="1" applyBorder="1" applyAlignment="1">
      <alignment horizontal="left" vertical="top"/>
    </xf>
    <xf numFmtId="166" fontId="30" fillId="0" borderId="4" xfId="22" applyNumberFormat="1" applyFont="1" applyFill="1" applyBorder="1" applyAlignment="1" applyProtection="1">
      <alignment horizontal="left" vertical="top"/>
    </xf>
    <xf numFmtId="0" fontId="33" fillId="0" borderId="4" xfId="3" applyNumberFormat="1" applyFont="1" applyFill="1" applyBorder="1" applyAlignment="1" applyProtection="1">
      <alignment horizontal="left" vertical="top"/>
    </xf>
    <xf numFmtId="170" fontId="33" fillId="0" borderId="4" xfId="0" applyNumberFormat="1" applyFont="1" applyFill="1" applyBorder="1" applyAlignment="1">
      <alignment horizontal="left" vertical="top" wrapText="1"/>
    </xf>
    <xf numFmtId="0" fontId="36" fillId="0" borderId="4" xfId="0" applyFont="1" applyFill="1" applyBorder="1" applyAlignment="1">
      <alignment horizontal="center" vertical="top" wrapText="1"/>
    </xf>
    <xf numFmtId="0" fontId="30" fillId="0" borderId="4" xfId="0" applyFont="1" applyFill="1" applyBorder="1" applyAlignment="1">
      <alignment horizontal="left" vertical="top"/>
    </xf>
    <xf numFmtId="0" fontId="34" fillId="0" borderId="4" xfId="0" applyFont="1" applyFill="1" applyBorder="1" applyAlignment="1">
      <alignment vertical="top"/>
    </xf>
    <xf numFmtId="0" fontId="30" fillId="0" borderId="4" xfId="1" applyNumberFormat="1" applyFont="1" applyFill="1" applyBorder="1" applyAlignment="1" applyProtection="1">
      <alignment horizontal="left" vertical="top"/>
    </xf>
    <xf numFmtId="0" fontId="30" fillId="0" borderId="4" xfId="1" applyNumberFormat="1" applyFont="1" applyFill="1" applyBorder="1" applyAlignment="1" applyProtection="1">
      <alignment horizontal="left" vertical="top" wrapText="1"/>
    </xf>
    <xf numFmtId="165" fontId="30" fillId="0" borderId="4" xfId="12" applyFont="1" applyFill="1" applyBorder="1" applyAlignment="1" applyProtection="1">
      <alignment horizontal="left" vertical="top"/>
    </xf>
    <xf numFmtId="165" fontId="30" fillId="0" borderId="4" xfId="12" applyFont="1" applyFill="1" applyBorder="1" applyAlignment="1" applyProtection="1">
      <alignment vertical="top" wrapText="1"/>
    </xf>
    <xf numFmtId="165" fontId="30" fillId="0" borderId="4" xfId="12" applyFont="1" applyFill="1" applyBorder="1" applyAlignment="1" applyProtection="1">
      <alignment vertical="top"/>
    </xf>
    <xf numFmtId="0" fontId="30" fillId="0" borderId="4" xfId="12" applyNumberFormat="1" applyFont="1" applyFill="1" applyBorder="1" applyAlignment="1" applyProtection="1">
      <alignment horizontal="left" vertical="top"/>
    </xf>
    <xf numFmtId="0" fontId="30" fillId="0" borderId="4" xfId="12" applyNumberFormat="1" applyFont="1" applyFill="1" applyBorder="1" applyAlignment="1" applyProtection="1">
      <alignment horizontal="left" vertical="top" wrapText="1"/>
    </xf>
    <xf numFmtId="165" fontId="30" fillId="0" borderId="4" xfId="12" applyFont="1" applyFill="1" applyBorder="1" applyAlignment="1" applyProtection="1">
      <alignment horizontal="left" vertical="top" wrapText="1"/>
    </xf>
    <xf numFmtId="166" fontId="30" fillId="0" borderId="4" xfId="12" applyNumberFormat="1" applyFont="1" applyFill="1" applyBorder="1" applyAlignment="1" applyProtection="1">
      <alignment horizontal="right" vertical="top"/>
    </xf>
    <xf numFmtId="165" fontId="29" fillId="0" borderId="4" xfId="12" applyFont="1" applyFill="1" applyBorder="1" applyAlignment="1" applyProtection="1">
      <alignment horizontal="left" vertical="top"/>
    </xf>
    <xf numFmtId="0" fontId="29" fillId="0" borderId="4" xfId="12" applyNumberFormat="1" applyFont="1" applyFill="1" applyBorder="1" applyAlignment="1" applyProtection="1">
      <alignment horizontal="left" vertical="top"/>
    </xf>
    <xf numFmtId="165" fontId="29" fillId="0" borderId="4" xfId="12" applyFont="1" applyFill="1" applyBorder="1" applyAlignment="1" applyProtection="1">
      <alignment horizontal="left" vertical="top" wrapText="1"/>
    </xf>
    <xf numFmtId="166" fontId="29" fillId="0" borderId="4" xfId="12" applyNumberFormat="1" applyFont="1" applyFill="1" applyBorder="1" applyAlignment="1" applyProtection="1">
      <alignment horizontal="right" vertical="top"/>
    </xf>
    <xf numFmtId="166" fontId="30" fillId="0" borderId="4" xfId="0" applyNumberFormat="1" applyFont="1" applyFill="1" applyBorder="1" applyAlignment="1">
      <alignment horizontal="right" vertical="top"/>
    </xf>
    <xf numFmtId="166" fontId="29" fillId="0" borderId="4" xfId="0" applyNumberFormat="1" applyFont="1" applyFill="1" applyBorder="1" applyAlignment="1">
      <alignment horizontal="right" vertical="top"/>
    </xf>
    <xf numFmtId="49" fontId="30" fillId="0" borderId="4" xfId="12" applyNumberFormat="1" applyFont="1" applyFill="1" applyBorder="1" applyAlignment="1" applyProtection="1">
      <alignment horizontal="left" vertical="top"/>
    </xf>
    <xf numFmtId="0" fontId="29" fillId="0" borderId="4" xfId="0" applyFont="1" applyFill="1" applyBorder="1" applyAlignment="1">
      <alignment vertical="top" wrapText="1"/>
    </xf>
    <xf numFmtId="3" fontId="29" fillId="0" borderId="4" xfId="0" applyNumberFormat="1" applyFont="1" applyFill="1" applyBorder="1" applyAlignment="1">
      <alignment horizontal="right" vertical="top" wrapText="1"/>
    </xf>
    <xf numFmtId="166" fontId="30" fillId="0" borderId="4" xfId="0" applyNumberFormat="1" applyFont="1" applyFill="1" applyBorder="1" applyAlignment="1">
      <alignment vertical="top"/>
    </xf>
    <xf numFmtId="49" fontId="29" fillId="0" borderId="4" xfId="0" applyNumberFormat="1" applyFont="1" applyFill="1" applyBorder="1" applyAlignment="1">
      <alignment horizontal="right" vertical="top"/>
    </xf>
    <xf numFmtId="166" fontId="29" fillId="0" borderId="4" xfId="16" applyNumberFormat="1" applyFont="1" applyFill="1" applyBorder="1" applyAlignment="1" applyProtection="1">
      <alignment horizontal="right" vertical="top"/>
    </xf>
    <xf numFmtId="0" fontId="29" fillId="0" borderId="4" xfId="12" applyNumberFormat="1" applyFont="1" applyFill="1" applyBorder="1" applyAlignment="1" applyProtection="1">
      <alignment horizontal="left" vertical="top" wrapText="1"/>
    </xf>
    <xf numFmtId="0" fontId="30" fillId="0" borderId="4" xfId="12" applyNumberFormat="1" applyFont="1" applyFill="1" applyBorder="1" applyAlignment="1" applyProtection="1">
      <alignment vertical="top" wrapText="1"/>
    </xf>
    <xf numFmtId="166" fontId="30" fillId="0" borderId="4" xfId="16" applyNumberFormat="1" applyFont="1" applyFill="1" applyBorder="1" applyAlignment="1" applyProtection="1">
      <alignment horizontal="right" vertical="top"/>
    </xf>
    <xf numFmtId="2" fontId="30" fillId="0" borderId="4" xfId="12" applyNumberFormat="1" applyFont="1" applyFill="1" applyBorder="1" applyAlignment="1" applyProtection="1">
      <alignment horizontal="left" vertical="top" wrapText="1"/>
    </xf>
    <xf numFmtId="165" fontId="30" fillId="0" borderId="4" xfId="12" applyFont="1" applyFill="1" applyBorder="1" applyAlignment="1" applyProtection="1">
      <alignment horizontal="center" vertical="top" wrapText="1"/>
    </xf>
    <xf numFmtId="165" fontId="30" fillId="0" borderId="4" xfId="12" applyFont="1" applyFill="1" applyBorder="1" applyAlignment="1" applyProtection="1">
      <alignment horizontal="center" vertical="top"/>
    </xf>
    <xf numFmtId="0" fontId="30" fillId="0" borderId="4" xfId="12" applyNumberFormat="1" applyFont="1" applyFill="1" applyBorder="1" applyAlignment="1" applyProtection="1">
      <alignment horizontal="center" vertical="top" wrapText="1"/>
    </xf>
    <xf numFmtId="0" fontId="30" fillId="0" borderId="4" xfId="12" applyNumberFormat="1" applyFont="1" applyFill="1" applyBorder="1" applyAlignment="1" applyProtection="1">
      <alignment horizontal="center" vertical="top"/>
    </xf>
    <xf numFmtId="2" fontId="29" fillId="0" borderId="4" xfId="12" applyNumberFormat="1" applyFont="1" applyFill="1" applyBorder="1" applyAlignment="1" applyProtection="1">
      <alignment horizontal="left" vertical="top" wrapText="1"/>
    </xf>
    <xf numFmtId="165" fontId="29" fillId="0" borderId="4" xfId="12" applyFont="1" applyFill="1" applyBorder="1" applyAlignment="1" applyProtection="1">
      <alignment vertical="top" wrapText="1"/>
    </xf>
    <xf numFmtId="0" fontId="37" fillId="0" borderId="4" xfId="12" applyNumberFormat="1" applyFont="1" applyFill="1" applyBorder="1" applyAlignment="1" applyProtection="1">
      <alignment horizontal="left" vertical="top"/>
    </xf>
    <xf numFmtId="0" fontId="37" fillId="0" borderId="4" xfId="0" applyFont="1" applyFill="1" applyBorder="1" applyAlignment="1">
      <alignment vertical="top" wrapText="1"/>
    </xf>
    <xf numFmtId="166" fontId="37" fillId="0" borderId="4" xfId="0" applyNumberFormat="1" applyFont="1" applyFill="1" applyBorder="1" applyAlignment="1">
      <alignment horizontal="right" vertical="top"/>
    </xf>
    <xf numFmtId="3" fontId="30" fillId="0" borderId="4" xfId="0" applyNumberFormat="1" applyFont="1" applyFill="1" applyBorder="1" applyAlignment="1">
      <alignment horizontal="right" vertical="top"/>
    </xf>
    <xf numFmtId="165" fontId="30" fillId="0" borderId="4" xfId="0" applyNumberFormat="1" applyFont="1" applyFill="1" applyBorder="1" applyAlignment="1">
      <alignment vertical="top"/>
    </xf>
    <xf numFmtId="0" fontId="33" fillId="0" borderId="4" xfId="12" applyNumberFormat="1" applyFont="1" applyFill="1" applyBorder="1" applyAlignment="1" applyProtection="1">
      <alignment vertical="top" wrapText="1"/>
    </xf>
    <xf numFmtId="166" fontId="33" fillId="0" borderId="4" xfId="12" applyNumberFormat="1" applyFont="1" applyFill="1" applyBorder="1" applyAlignment="1" applyProtection="1">
      <alignment horizontal="right" vertical="top"/>
    </xf>
    <xf numFmtId="0" fontId="30" fillId="0" borderId="4" xfId="0" applyFont="1" applyFill="1" applyBorder="1" applyAlignment="1">
      <alignment vertical="top" wrapText="1"/>
    </xf>
    <xf numFmtId="166" fontId="30" fillId="0" borderId="4" xfId="12" applyNumberFormat="1" applyFont="1" applyFill="1" applyBorder="1" applyAlignment="1" applyProtection="1">
      <alignment horizontal="right" vertical="top" wrapText="1"/>
    </xf>
    <xf numFmtId="166" fontId="29" fillId="0" borderId="4" xfId="12" applyNumberFormat="1" applyFont="1" applyFill="1" applyBorder="1" applyAlignment="1" applyProtection="1">
      <alignment horizontal="right" vertical="top" wrapText="1"/>
    </xf>
    <xf numFmtId="0" fontId="31" fillId="0" borderId="4" xfId="3" applyNumberFormat="1" applyFont="1" applyFill="1" applyBorder="1" applyAlignment="1" applyProtection="1">
      <alignment horizontal="left" vertical="top"/>
    </xf>
    <xf numFmtId="170" fontId="31" fillId="0" borderId="4" xfId="0" applyNumberFormat="1" applyFont="1" applyFill="1" applyBorder="1" applyAlignment="1">
      <alignment horizontal="left" vertical="top" wrapText="1"/>
    </xf>
    <xf numFmtId="166" fontId="20" fillId="0" borderId="4" xfId="0" applyNumberFormat="1" applyFont="1" applyFill="1" applyBorder="1" applyAlignment="1">
      <alignment horizontal="left" vertical="top" wrapText="1"/>
    </xf>
    <xf numFmtId="0" fontId="29" fillId="0" borderId="4" xfId="33" applyFont="1" applyFill="1" applyBorder="1" applyAlignment="1" applyProtection="1">
      <alignment horizontal="left" vertical="top"/>
    </xf>
    <xf numFmtId="0" fontId="29" fillId="0" borderId="4" xfId="33" applyFont="1" applyFill="1" applyBorder="1" applyAlignment="1" applyProtection="1">
      <alignment vertical="top" wrapText="1"/>
    </xf>
    <xf numFmtId="166" fontId="19" fillId="0" borderId="4" xfId="0" applyNumberFormat="1" applyFont="1" applyFill="1" applyBorder="1" applyAlignment="1">
      <alignment horizontal="left" vertical="top" wrapText="1"/>
    </xf>
    <xf numFmtId="38" fontId="30" fillId="0" borderId="4" xfId="0" applyNumberFormat="1" applyFont="1" applyFill="1" applyBorder="1" applyAlignment="1">
      <alignment vertical="top" wrapText="1"/>
    </xf>
    <xf numFmtId="0" fontId="29" fillId="0" borderId="4" xfId="1" applyNumberFormat="1" applyFont="1" applyFill="1" applyBorder="1" applyAlignment="1" applyProtection="1">
      <alignment horizontal="left" vertical="top"/>
    </xf>
    <xf numFmtId="38" fontId="29" fillId="0" borderId="4" xfId="0" applyNumberFormat="1" applyFont="1" applyFill="1" applyBorder="1" applyAlignment="1">
      <alignment vertical="top" wrapText="1"/>
    </xf>
    <xf numFmtId="0" fontId="36" fillId="0" borderId="4" xfId="3" applyNumberFormat="1" applyFont="1" applyFill="1" applyBorder="1" applyAlignment="1" applyProtection="1">
      <alignment horizontal="left" vertical="top"/>
    </xf>
    <xf numFmtId="166" fontId="36" fillId="0" borderId="4" xfId="12" applyNumberFormat="1" applyFont="1" applyFill="1" applyBorder="1" applyAlignment="1" applyProtection="1">
      <alignment horizontal="right" vertical="top" wrapText="1"/>
    </xf>
    <xf numFmtId="166" fontId="31" fillId="0" borderId="4" xfId="12" applyNumberFormat="1" applyFont="1" applyFill="1" applyBorder="1" applyAlignment="1" applyProtection="1">
      <alignment horizontal="right" vertical="top" wrapText="1"/>
    </xf>
    <xf numFmtId="166" fontId="33" fillId="0" borderId="4" xfId="12" applyNumberFormat="1" applyFont="1" applyFill="1" applyBorder="1" applyAlignment="1" applyProtection="1">
      <alignment horizontal="right" vertical="top" wrapText="1"/>
    </xf>
    <xf numFmtId="0" fontId="33" fillId="0" borderId="4" xfId="0" applyFont="1" applyFill="1" applyBorder="1" applyAlignment="1">
      <alignment horizontal="right" vertical="top"/>
    </xf>
    <xf numFmtId="0" fontId="36" fillId="0" borderId="4" xfId="0" applyFont="1" applyFill="1" applyBorder="1" applyAlignment="1">
      <alignment horizontal="right" vertical="top"/>
    </xf>
    <xf numFmtId="166" fontId="30" fillId="0" borderId="4" xfId="1" applyNumberFormat="1" applyFont="1" applyFill="1" applyBorder="1" applyAlignment="1" applyProtection="1">
      <alignment vertical="top"/>
    </xf>
    <xf numFmtId="0" fontId="31" fillId="0" borderId="4" xfId="0" applyFont="1" applyFill="1" applyBorder="1" applyAlignment="1">
      <alignment horizontal="right" vertical="top"/>
    </xf>
    <xf numFmtId="0" fontId="36" fillId="0" borderId="4" xfId="29" applyFont="1" applyFill="1" applyBorder="1" applyAlignment="1" applyProtection="1">
      <alignment vertical="top"/>
    </xf>
    <xf numFmtId="49" fontId="36" fillId="0" borderId="4" xfId="0" applyNumberFormat="1" applyFont="1" applyFill="1" applyBorder="1" applyAlignment="1">
      <alignment horizontal="right" vertical="top"/>
    </xf>
    <xf numFmtId="166" fontId="36" fillId="0" borderId="4" xfId="0" applyNumberFormat="1" applyFont="1" applyFill="1" applyBorder="1" applyAlignment="1">
      <alignment horizontal="left" vertical="top"/>
    </xf>
    <xf numFmtId="0" fontId="36" fillId="0" borderId="4" xfId="29" applyFont="1" applyFill="1" applyBorder="1" applyAlignment="1" applyProtection="1">
      <alignment vertical="top" wrapText="1"/>
    </xf>
    <xf numFmtId="0" fontId="36" fillId="0" borderId="4" xfId="1" applyNumberFormat="1" applyFont="1" applyFill="1" applyBorder="1" applyAlignment="1" applyProtection="1">
      <alignment horizontal="left" vertical="top"/>
    </xf>
    <xf numFmtId="0" fontId="31" fillId="0" borderId="4" xfId="1" applyNumberFormat="1" applyFont="1" applyFill="1" applyBorder="1" applyAlignment="1" applyProtection="1">
      <alignment horizontal="left" vertical="top"/>
    </xf>
    <xf numFmtId="165" fontId="29" fillId="0" borderId="4" xfId="1" applyFont="1" applyFill="1" applyBorder="1" applyAlignment="1" applyProtection="1">
      <alignment vertical="top" wrapText="1"/>
    </xf>
    <xf numFmtId="0" fontId="31" fillId="0" borderId="4" xfId="29" applyFont="1" applyFill="1" applyBorder="1" applyAlignment="1" applyProtection="1">
      <alignment vertical="top" wrapText="1"/>
    </xf>
    <xf numFmtId="49" fontId="31" fillId="0" borderId="4" xfId="0" applyNumberFormat="1" applyFont="1" applyFill="1" applyBorder="1" applyAlignment="1">
      <alignment horizontal="right" vertical="top"/>
    </xf>
    <xf numFmtId="49" fontId="38" fillId="0" borderId="4" xfId="0" applyNumberFormat="1" applyFont="1" applyFill="1" applyBorder="1" applyAlignment="1">
      <alignment horizontal="right" vertical="top"/>
    </xf>
    <xf numFmtId="0" fontId="37" fillId="0" borderId="4" xfId="0" applyFont="1" applyFill="1" applyBorder="1" applyAlignment="1">
      <alignment horizontal="right" vertical="top"/>
    </xf>
    <xf numFmtId="49" fontId="30" fillId="0" borderId="4" xfId="0" applyNumberFormat="1" applyFont="1" applyFill="1" applyBorder="1" applyAlignment="1">
      <alignment horizontal="right" vertical="top"/>
    </xf>
    <xf numFmtId="0" fontId="29" fillId="0" borderId="4" xfId="0" applyFont="1" applyFill="1" applyBorder="1" applyAlignment="1">
      <alignment horizontal="right" vertical="top"/>
    </xf>
    <xf numFmtId="0" fontId="30" fillId="0" borderId="4" xfId="0" applyFont="1" applyFill="1" applyBorder="1" applyAlignment="1">
      <alignment horizontal="right" vertical="top"/>
    </xf>
    <xf numFmtId="0" fontId="33" fillId="0" borderId="4" xfId="29" applyFont="1" applyFill="1" applyBorder="1" applyAlignment="1" applyProtection="1">
      <alignment horizontal="left" vertical="top"/>
    </xf>
    <xf numFmtId="49" fontId="31" fillId="0" borderId="4" xfId="0" applyNumberFormat="1" applyFont="1" applyFill="1" applyBorder="1" applyAlignment="1">
      <alignment vertical="top"/>
    </xf>
    <xf numFmtId="166" fontId="36" fillId="0" borderId="4" xfId="0" applyNumberFormat="1" applyFont="1" applyFill="1" applyBorder="1" applyAlignment="1">
      <alignment vertical="top"/>
    </xf>
    <xf numFmtId="170" fontId="31" fillId="0" borderId="4" xfId="29" applyNumberFormat="1" applyFont="1" applyFill="1" applyBorder="1" applyAlignment="1" applyProtection="1">
      <alignment horizontal="left" vertical="top" wrapText="1"/>
    </xf>
    <xf numFmtId="171" fontId="36" fillId="0" borderId="4" xfId="0" applyNumberFormat="1" applyFont="1" applyFill="1" applyBorder="1" applyAlignment="1">
      <alignment vertical="top" wrapText="1"/>
    </xf>
    <xf numFmtId="171" fontId="31" fillId="0" borderId="4" xfId="0" applyNumberFormat="1" applyFont="1" applyFill="1" applyBorder="1" applyAlignment="1">
      <alignment vertical="top" wrapText="1"/>
    </xf>
    <xf numFmtId="167" fontId="36" fillId="0" borderId="4" xfId="0" applyNumberFormat="1" applyFont="1" applyFill="1" applyBorder="1" applyAlignment="1">
      <alignment vertical="top" wrapText="1"/>
    </xf>
    <xf numFmtId="167" fontId="31" fillId="0" borderId="4" xfId="0" applyNumberFormat="1" applyFont="1" applyFill="1" applyBorder="1" applyAlignment="1">
      <alignment vertical="top" wrapText="1"/>
    </xf>
    <xf numFmtId="49" fontId="33" fillId="0" borderId="4" xfId="0" applyNumberFormat="1" applyFont="1" applyFill="1" applyBorder="1" applyAlignment="1">
      <alignment vertical="top"/>
    </xf>
    <xf numFmtId="170" fontId="36" fillId="0" borderId="4" xfId="29" applyNumberFormat="1" applyFont="1" applyFill="1" applyBorder="1" applyAlignment="1" applyProtection="1">
      <alignment horizontal="left" vertical="top"/>
    </xf>
    <xf numFmtId="170" fontId="36" fillId="0" borderId="4" xfId="29" applyNumberFormat="1" applyFont="1" applyFill="1" applyBorder="1" applyAlignment="1" applyProtection="1">
      <alignment horizontal="left" vertical="top" wrapText="1"/>
    </xf>
    <xf numFmtId="49" fontId="33" fillId="0" borderId="4" xfId="0" applyNumberFormat="1" applyFont="1" applyFill="1" applyBorder="1" applyAlignment="1">
      <alignment horizontal="right" vertical="top"/>
    </xf>
    <xf numFmtId="0" fontId="33" fillId="0" borderId="4" xfId="3" applyNumberFormat="1" applyFont="1" applyFill="1" applyBorder="1" applyAlignment="1" applyProtection="1">
      <alignment horizontal="left" vertical="top" wrapText="1"/>
    </xf>
    <xf numFmtId="166" fontId="33" fillId="0" borderId="4" xfId="12" applyNumberFormat="1" applyFont="1" applyFill="1" applyBorder="1" applyAlignment="1" applyProtection="1">
      <alignment vertical="top"/>
    </xf>
    <xf numFmtId="170" fontId="33" fillId="0" borderId="4" xfId="29" applyNumberFormat="1" applyFont="1" applyFill="1" applyBorder="1" applyAlignment="1" applyProtection="1">
      <alignment horizontal="left" vertical="top" wrapText="1"/>
    </xf>
    <xf numFmtId="170" fontId="33" fillId="0" borderId="4" xfId="0" applyNumberFormat="1" applyFont="1" applyFill="1" applyBorder="1" applyAlignment="1">
      <alignment horizontal="left" vertical="top"/>
    </xf>
    <xf numFmtId="49" fontId="37" fillId="0" borderId="4" xfId="0" applyNumberFormat="1" applyFont="1" applyFill="1" applyBorder="1" applyAlignment="1">
      <alignment vertical="top"/>
    </xf>
    <xf numFmtId="49" fontId="19" fillId="0" borderId="4" xfId="0" applyNumberFormat="1" applyFont="1" applyFill="1" applyBorder="1" applyAlignment="1">
      <alignment vertical="top"/>
    </xf>
    <xf numFmtId="49" fontId="38" fillId="0" borderId="4" xfId="0" applyNumberFormat="1" applyFont="1" applyFill="1" applyBorder="1" applyAlignment="1">
      <alignment vertical="top"/>
    </xf>
    <xf numFmtId="49" fontId="32" fillId="0" borderId="4" xfId="0" applyNumberFormat="1" applyFont="1" applyFill="1" applyBorder="1" applyAlignment="1">
      <alignment vertical="top"/>
    </xf>
    <xf numFmtId="166" fontId="32" fillId="0" borderId="4" xfId="0" applyNumberFormat="1" applyFont="1" applyFill="1" applyBorder="1" applyAlignment="1">
      <alignment vertical="top"/>
    </xf>
    <xf numFmtId="170" fontId="31" fillId="0" borderId="4" xfId="3" applyNumberFormat="1" applyFont="1" applyFill="1" applyBorder="1" applyAlignment="1" applyProtection="1">
      <alignment horizontal="left" vertical="top" wrapText="1"/>
    </xf>
    <xf numFmtId="170" fontId="33" fillId="0" borderId="4" xfId="0" applyNumberFormat="1" applyFont="1" applyFill="1" applyBorder="1" applyAlignment="1">
      <alignment vertical="top"/>
    </xf>
    <xf numFmtId="3" fontId="52" fillId="0" borderId="0" xfId="0" applyNumberFormat="1" applyFont="1">
      <alignment vertical="center"/>
    </xf>
    <xf numFmtId="166" fontId="19" fillId="0" borderId="4" xfId="0" applyNumberFormat="1" applyFont="1" applyFill="1" applyBorder="1" applyAlignment="1">
      <alignment vertical="top"/>
    </xf>
    <xf numFmtId="165" fontId="31" fillId="0" borderId="4" xfId="0" applyNumberFormat="1" applyFont="1" applyFill="1" applyBorder="1" applyAlignment="1">
      <alignment vertical="top"/>
    </xf>
    <xf numFmtId="166" fontId="20" fillId="0" borderId="4" xfId="0" applyNumberFormat="1" applyFont="1" applyFill="1" applyBorder="1" applyAlignment="1">
      <alignment vertical="top"/>
    </xf>
    <xf numFmtId="0" fontId="20" fillId="0" borderId="4" xfId="12" applyNumberFormat="1" applyFont="1" applyFill="1" applyBorder="1" applyAlignment="1" applyProtection="1">
      <alignment vertical="top"/>
    </xf>
    <xf numFmtId="170" fontId="36" fillId="0" borderId="4" xfId="0" applyNumberFormat="1" applyFont="1" applyFill="1" applyBorder="1" applyAlignment="1">
      <alignment horizontal="center" vertical="top" wrapText="1"/>
    </xf>
    <xf numFmtId="164" fontId="36" fillId="0" borderId="4" xfId="5" applyNumberFormat="1" applyFont="1" applyFill="1" applyBorder="1" applyAlignment="1" applyProtection="1">
      <alignment horizontal="right" vertical="top" wrapText="1"/>
    </xf>
    <xf numFmtId="166" fontId="36" fillId="0" borderId="4" xfId="5" applyNumberFormat="1" applyFont="1" applyFill="1" applyBorder="1" applyAlignment="1" applyProtection="1">
      <alignment horizontal="left" vertical="top"/>
    </xf>
    <xf numFmtId="166" fontId="36" fillId="0" borderId="4" xfId="5" applyNumberFormat="1" applyFont="1" applyFill="1" applyBorder="1" applyAlignment="1" applyProtection="1">
      <alignment vertical="top" wrapText="1"/>
    </xf>
    <xf numFmtId="164" fontId="31" fillId="0" borderId="4" xfId="5" applyNumberFormat="1" applyFont="1" applyFill="1" applyBorder="1" applyAlignment="1" applyProtection="1">
      <alignment vertical="top" wrapText="1"/>
    </xf>
    <xf numFmtId="0" fontId="36" fillId="0" borderId="4" xfId="5" applyNumberFormat="1" applyFont="1" applyFill="1" applyBorder="1" applyAlignment="1" applyProtection="1">
      <alignment horizontal="left" vertical="top"/>
    </xf>
    <xf numFmtId="166" fontId="36" fillId="0" borderId="4" xfId="5" applyNumberFormat="1" applyFont="1" applyFill="1" applyBorder="1" applyAlignment="1" applyProtection="1">
      <alignment horizontal="left" vertical="top" wrapText="1"/>
    </xf>
    <xf numFmtId="0" fontId="31" fillId="0" borderId="4" xfId="5" applyNumberFormat="1" applyFont="1" applyFill="1" applyBorder="1" applyAlignment="1" applyProtection="1">
      <alignment horizontal="left" vertical="top"/>
    </xf>
    <xf numFmtId="166" fontId="31" fillId="0" borderId="4" xfId="5" applyNumberFormat="1" applyFont="1" applyFill="1" applyBorder="1" applyAlignment="1" applyProtection="1">
      <alignment horizontal="left" vertical="top" wrapText="1"/>
    </xf>
    <xf numFmtId="164" fontId="31" fillId="0" borderId="4" xfId="5" applyNumberFormat="1" applyFont="1" applyFill="1" applyBorder="1" applyAlignment="1" applyProtection="1">
      <alignment horizontal="right" vertical="top" wrapText="1"/>
    </xf>
    <xf numFmtId="164" fontId="31" fillId="0" borderId="4" xfId="0" applyNumberFormat="1" applyFont="1" applyFill="1" applyBorder="1" applyAlignment="1">
      <alignment vertical="top" wrapText="1"/>
    </xf>
    <xf numFmtId="1" fontId="36" fillId="0" borderId="4" xfId="12" applyNumberFormat="1" applyFont="1" applyFill="1" applyBorder="1" applyAlignment="1" applyProtection="1">
      <alignment vertical="top" wrapText="1"/>
    </xf>
    <xf numFmtId="166" fontId="36" fillId="0" borderId="4" xfId="12" applyNumberFormat="1" applyFont="1" applyFill="1" applyBorder="1" applyAlignment="1" applyProtection="1">
      <alignment horizontal="left" vertical="top" wrapText="1"/>
    </xf>
    <xf numFmtId="164" fontId="36" fillId="0" borderId="4" xfId="0" applyNumberFormat="1" applyFont="1" applyFill="1" applyBorder="1" applyAlignment="1">
      <alignment vertical="top" wrapText="1"/>
    </xf>
    <xf numFmtId="164" fontId="36" fillId="0" borderId="4" xfId="12" applyNumberFormat="1" applyFont="1" applyFill="1" applyBorder="1" applyAlignment="1" applyProtection="1">
      <alignment horizontal="right" vertical="top" wrapText="1"/>
    </xf>
    <xf numFmtId="1" fontId="36" fillId="0" borderId="4" xfId="5" applyNumberFormat="1" applyFont="1" applyFill="1" applyBorder="1" applyAlignment="1" applyProtection="1">
      <alignment horizontal="left" vertical="top"/>
    </xf>
    <xf numFmtId="1" fontId="36" fillId="0" borderId="4" xfId="5" applyNumberFormat="1" applyFont="1" applyFill="1" applyBorder="1" applyAlignment="1" applyProtection="1">
      <alignment vertical="top" wrapText="1"/>
    </xf>
    <xf numFmtId="166" fontId="36" fillId="0" borderId="4" xfId="5" applyNumberFormat="1" applyFont="1" applyFill="1" applyBorder="1" applyAlignment="1" applyProtection="1">
      <alignment horizontal="right" vertical="top" wrapText="1"/>
    </xf>
    <xf numFmtId="0" fontId="53" fillId="0" borderId="4" xfId="0" applyFont="1" applyFill="1" applyBorder="1" applyAlignment="1">
      <alignment vertical="top" wrapText="1"/>
    </xf>
    <xf numFmtId="3" fontId="31" fillId="0" borderId="4" xfId="0" applyNumberFormat="1" applyFont="1" applyFill="1" applyBorder="1" applyAlignment="1">
      <alignment vertical="top" wrapText="1"/>
    </xf>
    <xf numFmtId="0" fontId="53" fillId="0" borderId="4" xfId="5" applyNumberFormat="1" applyFont="1" applyFill="1" applyBorder="1" applyAlignment="1" applyProtection="1">
      <alignment horizontal="left" vertical="top"/>
    </xf>
    <xf numFmtId="166" fontId="31" fillId="0" borderId="4" xfId="1" applyNumberFormat="1" applyFont="1" applyFill="1" applyBorder="1" applyAlignment="1">
      <alignment vertical="top" wrapText="1"/>
      <protection locked="0"/>
    </xf>
    <xf numFmtId="164" fontId="36" fillId="0" borderId="4" xfId="0" applyNumberFormat="1" applyFont="1" applyFill="1" applyBorder="1" applyAlignment="1">
      <alignment horizontal="right" vertical="top" wrapText="1"/>
    </xf>
    <xf numFmtId="164" fontId="31" fillId="0" borderId="4" xfId="0" applyNumberFormat="1" applyFont="1" applyFill="1" applyBorder="1" applyAlignment="1">
      <alignment horizontal="right" vertical="top" wrapText="1"/>
    </xf>
    <xf numFmtId="0" fontId="33" fillId="0" borderId="4" xfId="29" applyFont="1" applyFill="1" applyBorder="1" applyAlignment="1" applyProtection="1">
      <alignment horizontal="left" vertical="top" wrapText="1"/>
    </xf>
    <xf numFmtId="164" fontId="33" fillId="0" borderId="4" xfId="5" applyNumberFormat="1" applyFont="1" applyFill="1" applyBorder="1" applyAlignment="1" applyProtection="1">
      <alignment horizontal="right" vertical="top" wrapText="1"/>
    </xf>
    <xf numFmtId="166" fontId="54" fillId="0" borderId="4" xfId="1" applyNumberFormat="1" applyFont="1" applyFill="1" applyBorder="1" applyAlignment="1" applyProtection="1">
      <alignment horizontal="left" vertical="top"/>
    </xf>
    <xf numFmtId="49" fontId="20" fillId="0" borderId="4" xfId="0" applyNumberFormat="1" applyFont="1" applyFill="1" applyBorder="1" applyAlignment="1">
      <alignment vertical="top"/>
    </xf>
    <xf numFmtId="166" fontId="20" fillId="0" borderId="4" xfId="1" applyNumberFormat="1" applyFont="1" applyFill="1" applyBorder="1" applyAlignment="1" applyProtection="1">
      <alignment vertical="top"/>
    </xf>
    <xf numFmtId="170" fontId="36" fillId="0" borderId="4" xfId="0" applyNumberFormat="1" applyFont="1" applyFill="1" applyBorder="1" applyAlignment="1">
      <alignment vertical="top" wrapText="1"/>
    </xf>
    <xf numFmtId="0" fontId="20" fillId="0" borderId="4" xfId="0" applyFont="1" applyFill="1" applyBorder="1" applyAlignment="1">
      <alignment vertical="top" wrapText="1"/>
    </xf>
    <xf numFmtId="170" fontId="33" fillId="0" borderId="4" xfId="0" applyNumberFormat="1" applyFont="1" applyFill="1" applyBorder="1" applyAlignment="1">
      <alignment vertical="top" wrapText="1"/>
    </xf>
    <xf numFmtId="170" fontId="31" fillId="0" borderId="4" xfId="0" applyNumberFormat="1" applyFont="1" applyFill="1" applyBorder="1" applyAlignment="1">
      <alignment vertical="top" wrapText="1"/>
    </xf>
    <xf numFmtId="166" fontId="37" fillId="0" borderId="4" xfId="1" applyNumberFormat="1" applyFont="1" applyFill="1" applyBorder="1" applyAlignment="1" applyProtection="1">
      <alignment vertical="top" wrapText="1"/>
    </xf>
    <xf numFmtId="166" fontId="31" fillId="0" borderId="4" xfId="1" applyNumberFormat="1" applyFont="1" applyFill="1" applyBorder="1" applyAlignment="1" applyProtection="1">
      <alignment horizontal="right" vertical="top"/>
    </xf>
    <xf numFmtId="166" fontId="19" fillId="0" borderId="4" xfId="22" applyNumberFormat="1" applyFont="1" applyFill="1" applyBorder="1" applyAlignment="1" applyProtection="1">
      <alignment vertical="top"/>
    </xf>
    <xf numFmtId="166" fontId="20" fillId="0" borderId="4" xfId="22" applyNumberFormat="1" applyFont="1" applyFill="1" applyBorder="1" applyAlignment="1" applyProtection="1">
      <alignment vertical="top"/>
    </xf>
    <xf numFmtId="166" fontId="32" fillId="0" borderId="4" xfId="12" applyNumberFormat="1" applyFont="1" applyFill="1" applyBorder="1" applyAlignment="1" applyProtection="1">
      <alignment vertical="top"/>
    </xf>
    <xf numFmtId="166" fontId="33" fillId="0" borderId="4" xfId="0" applyNumberFormat="1" applyFont="1" applyFill="1" applyBorder="1" applyAlignment="1">
      <alignment vertical="top" wrapText="1"/>
    </xf>
    <xf numFmtId="49" fontId="32" fillId="0" borderId="4" xfId="0" applyNumberFormat="1" applyFont="1" applyFill="1" applyBorder="1" applyAlignment="1">
      <alignment horizontal="right" vertical="top"/>
    </xf>
    <xf numFmtId="166" fontId="33" fillId="0" borderId="4" xfId="1" applyNumberFormat="1" applyFont="1" applyFill="1" applyBorder="1" applyAlignment="1" applyProtection="1">
      <alignment horizontal="right" vertical="top"/>
    </xf>
    <xf numFmtId="0" fontId="19" fillId="0" borderId="4" xfId="0" applyFont="1" applyFill="1" applyBorder="1" applyAlignment="1">
      <alignment horizontal="center" vertical="top" wrapText="1"/>
    </xf>
    <xf numFmtId="166" fontId="19" fillId="0" borderId="4" xfId="1" applyNumberFormat="1" applyFont="1" applyFill="1" applyBorder="1" applyAlignment="1" applyProtection="1">
      <alignment horizontal="right" vertical="top"/>
    </xf>
    <xf numFmtId="166" fontId="36" fillId="0" borderId="4" xfId="1" applyNumberFormat="1" applyFont="1" applyFill="1" applyBorder="1" applyAlignment="1" applyProtection="1">
      <alignment horizontal="right" vertical="top"/>
    </xf>
    <xf numFmtId="167" fontId="36" fillId="0" borderId="4" xfId="0" applyNumberFormat="1" applyFont="1" applyFill="1" applyBorder="1" applyAlignment="1">
      <alignment horizontal="left" vertical="top"/>
    </xf>
    <xf numFmtId="49" fontId="36" fillId="0" borderId="4" xfId="1" applyNumberFormat="1" applyFont="1" applyFill="1" applyBorder="1" applyAlignment="1" applyProtection="1">
      <alignment horizontal="left" vertical="top" wrapText="1"/>
    </xf>
    <xf numFmtId="166" fontId="20" fillId="0" borderId="4" xfId="1" applyNumberFormat="1" applyFont="1" applyFill="1" applyBorder="1" applyAlignment="1" applyProtection="1">
      <alignment vertical="top" wrapText="1"/>
    </xf>
    <xf numFmtId="166" fontId="19" fillId="0" borderId="4" xfId="1" applyNumberFormat="1" applyFont="1" applyFill="1" applyBorder="1" applyAlignment="1" applyProtection="1">
      <alignment vertical="top" wrapText="1"/>
    </xf>
    <xf numFmtId="0" fontId="31" fillId="0" borderId="0" xfId="0" applyFont="1" applyFill="1" applyBorder="1" applyAlignment="1">
      <alignment vertical="top" wrapText="1"/>
    </xf>
    <xf numFmtId="166" fontId="31" fillId="0" borderId="4" xfId="1" applyNumberFormat="1" applyFont="1" applyFill="1" applyBorder="1" applyAlignment="1" applyProtection="1">
      <alignment vertical="top" wrapText="1"/>
    </xf>
    <xf numFmtId="49" fontId="31" fillId="0" borderId="0" xfId="0" applyNumberFormat="1" applyFont="1" applyFill="1" applyBorder="1" applyAlignment="1">
      <alignment horizontal="left" vertical="top"/>
    </xf>
    <xf numFmtId="167" fontId="31" fillId="0" borderId="0" xfId="0" applyNumberFormat="1" applyFont="1" applyFill="1" applyBorder="1" applyAlignment="1">
      <alignment vertical="top" wrapText="1"/>
    </xf>
    <xf numFmtId="0" fontId="36" fillId="0" borderId="0" xfId="0" applyFont="1" applyFill="1" applyBorder="1" applyAlignment="1">
      <alignment vertical="top" wrapText="1"/>
    </xf>
    <xf numFmtId="2" fontId="31" fillId="0" borderId="4" xfId="0" applyNumberFormat="1" applyFont="1" applyFill="1" applyBorder="1" applyAlignment="1">
      <alignment vertical="top" wrapText="1"/>
    </xf>
    <xf numFmtId="49" fontId="31" fillId="0" borderId="0" xfId="0" applyNumberFormat="1" applyFont="1" applyFill="1" applyBorder="1" applyAlignment="1">
      <alignment vertical="top" wrapText="1"/>
    </xf>
    <xf numFmtId="49" fontId="36" fillId="0" borderId="0" xfId="0" applyNumberFormat="1" applyFont="1" applyFill="1" applyBorder="1" applyAlignment="1">
      <alignment horizontal="left" vertical="top"/>
    </xf>
    <xf numFmtId="166" fontId="33" fillId="0" borderId="4" xfId="5" applyNumberFormat="1" applyFont="1" applyFill="1" applyBorder="1" applyAlignment="1" applyProtection="1">
      <alignment horizontal="right" vertical="top"/>
    </xf>
    <xf numFmtId="167" fontId="31" fillId="0" borderId="4" xfId="0" quotePrefix="1" applyNumberFormat="1" applyFont="1" applyFill="1" applyBorder="1" applyAlignment="1">
      <alignment horizontal="left" vertical="top" wrapText="1"/>
    </xf>
    <xf numFmtId="167" fontId="36" fillId="0" borderId="4" xfId="0" quotePrefix="1" applyNumberFormat="1" applyFont="1" applyFill="1" applyBorder="1" applyAlignment="1" applyProtection="1">
      <alignment horizontal="left" vertical="top" wrapText="1"/>
      <protection locked="0"/>
    </xf>
    <xf numFmtId="171" fontId="36" fillId="0" borderId="4" xfId="0" quotePrefix="1" applyNumberFormat="1" applyFont="1" applyFill="1" applyBorder="1" applyAlignment="1">
      <alignment horizontal="left" vertical="top" wrapText="1"/>
    </xf>
    <xf numFmtId="171" fontId="31" fillId="0" borderId="4" xfId="0" quotePrefix="1" applyNumberFormat="1" applyFont="1" applyFill="1" applyBorder="1" applyAlignment="1">
      <alignment horizontal="left" vertical="top" wrapText="1"/>
    </xf>
    <xf numFmtId="0" fontId="31" fillId="0" borderId="4" xfId="0" quotePrefix="1" applyFont="1" applyFill="1" applyBorder="1" applyAlignment="1">
      <alignment vertical="top" wrapText="1"/>
    </xf>
    <xf numFmtId="174" fontId="33" fillId="0" borderId="4" xfId="0" quotePrefix="1" applyNumberFormat="1" applyFont="1" applyFill="1" applyBorder="1" applyAlignment="1">
      <alignment horizontal="left" vertical="top" wrapText="1"/>
    </xf>
    <xf numFmtId="171" fontId="30" fillId="0" borderId="4" xfId="0" quotePrefix="1" applyNumberFormat="1" applyFont="1" applyFill="1" applyBorder="1" applyAlignment="1">
      <alignment horizontal="left" vertical="top" wrapText="1"/>
    </xf>
    <xf numFmtId="2" fontId="30" fillId="0" borderId="4" xfId="12" quotePrefix="1" applyNumberFormat="1" applyFont="1" applyFill="1" applyBorder="1" applyAlignment="1" applyProtection="1">
      <alignment horizontal="left" vertical="top"/>
    </xf>
    <xf numFmtId="37" fontId="20" fillId="0" borderId="4" xfId="0" quotePrefix="1" applyNumberFormat="1" applyFont="1" applyFill="1" applyBorder="1" applyAlignment="1">
      <alignment horizontal="left" vertical="top"/>
    </xf>
    <xf numFmtId="170" fontId="31" fillId="0" borderId="4" xfId="29" quotePrefix="1" applyNumberFormat="1" applyFont="1" applyFill="1" applyBorder="1" applyAlignment="1" applyProtection="1">
      <alignment horizontal="left" vertical="top" wrapText="1"/>
    </xf>
    <xf numFmtId="0" fontId="19" fillId="0" borderId="4" xfId="0" quotePrefix="1" applyFont="1" applyFill="1" applyBorder="1" applyAlignment="1">
      <alignment vertical="top" wrapText="1"/>
    </xf>
    <xf numFmtId="40" fontId="31" fillId="0" borderId="4" xfId="0" quotePrefix="1" applyNumberFormat="1" applyFont="1" applyFill="1" applyBorder="1" applyAlignment="1">
      <alignment horizontal="left" vertical="top"/>
    </xf>
    <xf numFmtId="166" fontId="61" fillId="0" borderId="4" xfId="1" applyNumberFormat="1" applyFont="1" applyBorder="1" applyAlignment="1" applyProtection="1">
      <alignment horizontal="left" vertical="top" wrapText="1"/>
    </xf>
    <xf numFmtId="166" fontId="61" fillId="0" borderId="4" xfId="1" applyNumberFormat="1" applyFont="1" applyBorder="1" applyAlignment="1" applyProtection="1">
      <alignment horizontal="right" vertical="top" wrapText="1"/>
    </xf>
    <xf numFmtId="168" fontId="61" fillId="0" borderId="4" xfId="2" applyNumberFormat="1" applyFont="1" applyBorder="1" applyAlignment="1" applyProtection="1">
      <alignment vertical="top" wrapText="1"/>
    </xf>
    <xf numFmtId="165" fontId="61" fillId="0" borderId="4" xfId="1" applyFont="1" applyBorder="1" applyAlignment="1">
      <alignment vertical="top"/>
      <protection locked="0"/>
    </xf>
    <xf numFmtId="166" fontId="61" fillId="0" borderId="4" xfId="0" applyNumberFormat="1" applyFont="1" applyBorder="1" applyAlignment="1">
      <alignment vertical="top"/>
    </xf>
    <xf numFmtId="0" fontId="61" fillId="0" borderId="4" xfId="0" applyFont="1" applyBorder="1" applyAlignment="1">
      <alignment vertical="top"/>
    </xf>
    <xf numFmtId="0" fontId="61" fillId="0" borderId="0" xfId="0" applyFont="1" applyAlignment="1">
      <alignment vertical="top"/>
    </xf>
    <xf numFmtId="166" fontId="61" fillId="6" borderId="0" xfId="1" applyNumberFormat="1" applyFont="1" applyFill="1" applyAlignment="1">
      <alignment vertical="top"/>
      <protection locked="0"/>
    </xf>
    <xf numFmtId="165" fontId="61" fillId="0" borderId="0" xfId="1" applyFont="1" applyAlignment="1">
      <alignment vertical="top"/>
      <protection locked="0"/>
    </xf>
    <xf numFmtId="43" fontId="61" fillId="0" borderId="0" xfId="0" applyNumberFormat="1" applyFont="1" applyAlignment="1">
      <alignment vertical="top"/>
    </xf>
    <xf numFmtId="165" fontId="62" fillId="0" borderId="0" xfId="1" applyFont="1" applyAlignment="1">
      <alignment vertical="top"/>
      <protection locked="0"/>
    </xf>
    <xf numFmtId="0" fontId="61" fillId="0" borderId="8" xfId="0" applyFont="1" applyBorder="1" applyAlignment="1">
      <alignment vertical="top"/>
    </xf>
    <xf numFmtId="3" fontId="61" fillId="0" borderId="9" xfId="0" applyNumberFormat="1" applyFont="1" applyBorder="1" applyAlignment="1">
      <alignment horizontal="right" vertical="top"/>
    </xf>
    <xf numFmtId="3" fontId="61" fillId="0" borderId="10" xfId="0" applyNumberFormat="1" applyFont="1" applyBorder="1" applyAlignment="1">
      <alignment horizontal="right" vertical="top"/>
    </xf>
    <xf numFmtId="3" fontId="61" fillId="0" borderId="12" xfId="0" applyNumberFormat="1" applyFont="1" applyBorder="1" applyAlignment="1">
      <alignment horizontal="right" vertical="top"/>
    </xf>
    <xf numFmtId="166" fontId="61" fillId="0" borderId="0" xfId="0" applyNumberFormat="1" applyFont="1" applyAlignment="1">
      <alignment vertical="top"/>
    </xf>
    <xf numFmtId="0" fontId="63" fillId="9" borderId="8" xfId="0" applyFont="1" applyFill="1" applyBorder="1" applyAlignment="1">
      <alignment vertical="top"/>
    </xf>
    <xf numFmtId="3" fontId="5" fillId="9" borderId="8" xfId="0" applyNumberFormat="1" applyFont="1" applyFill="1" applyBorder="1" applyAlignment="1">
      <alignment horizontal="right" vertical="top"/>
    </xf>
    <xf numFmtId="3" fontId="5" fillId="9" borderId="0" xfId="0" applyNumberFormat="1" applyFont="1" applyFill="1" applyAlignment="1">
      <alignment horizontal="right" vertical="top"/>
    </xf>
    <xf numFmtId="3" fontId="5" fillId="9" borderId="13" xfId="0" applyNumberFormat="1" applyFont="1" applyFill="1" applyBorder="1" applyAlignment="1">
      <alignment horizontal="right" vertical="top"/>
    </xf>
    <xf numFmtId="166" fontId="5" fillId="0" borderId="0" xfId="0" applyNumberFormat="1" applyFont="1" applyAlignment="1">
      <alignment vertical="top"/>
    </xf>
    <xf numFmtId="0" fontId="5" fillId="0" borderId="14" xfId="0" applyFont="1" applyBorder="1" applyAlignment="1">
      <alignment vertical="top"/>
    </xf>
    <xf numFmtId="10" fontId="64" fillId="0" borderId="14" xfId="0" applyNumberFormat="1" applyFont="1" applyBorder="1" applyAlignment="1">
      <alignment horizontal="right" vertical="top"/>
    </xf>
    <xf numFmtId="10" fontId="64" fillId="0" borderId="15" xfId="0" applyNumberFormat="1" applyFont="1" applyBorder="1" applyAlignment="1">
      <alignment horizontal="right" vertical="top"/>
    </xf>
    <xf numFmtId="10" fontId="64" fillId="0" borderId="16" xfId="0" applyNumberFormat="1" applyFont="1" applyBorder="1" applyAlignment="1">
      <alignment horizontal="right" vertical="top"/>
    </xf>
    <xf numFmtId="0" fontId="29" fillId="7" borderId="4" xfId="0" applyFont="1" applyFill="1" applyBorder="1" applyAlignment="1">
      <alignment vertical="top" wrapText="1"/>
    </xf>
    <xf numFmtId="0" fontId="29" fillId="7" borderId="4" xfId="0" applyFont="1" applyFill="1" applyBorder="1" applyAlignment="1">
      <alignment horizontal="left" vertical="top"/>
    </xf>
    <xf numFmtId="166" fontId="29" fillId="7" borderId="4" xfId="12" applyNumberFormat="1" applyFont="1" applyFill="1" applyBorder="1" applyAlignment="1" applyProtection="1">
      <alignment horizontal="right" vertical="top" wrapText="1"/>
    </xf>
    <xf numFmtId="0" fontId="34" fillId="7" borderId="4" xfId="0" applyFont="1" applyFill="1" applyBorder="1" applyAlignment="1">
      <alignment vertical="top"/>
    </xf>
    <xf numFmtId="0" fontId="29" fillId="7" borderId="0" xfId="0" applyFont="1" applyFill="1" applyAlignment="1">
      <alignment vertical="top"/>
    </xf>
    <xf numFmtId="0" fontId="30" fillId="7" borderId="4" xfId="0" applyFont="1" applyFill="1" applyBorder="1" applyAlignment="1">
      <alignment vertical="top" wrapText="1"/>
    </xf>
    <xf numFmtId="166" fontId="20" fillId="7" borderId="4" xfId="0" applyNumberFormat="1" applyFont="1" applyFill="1" applyBorder="1" applyAlignment="1">
      <alignment horizontal="left" vertical="top" wrapText="1"/>
    </xf>
    <xf numFmtId="166" fontId="34" fillId="0" borderId="4" xfId="0" applyNumberFormat="1" applyFont="1" applyFill="1" applyBorder="1" applyAlignment="1">
      <alignment vertical="top"/>
    </xf>
    <xf numFmtId="0" fontId="65" fillId="0" borderId="0" xfId="0" applyFont="1">
      <alignment vertical="center"/>
    </xf>
    <xf numFmtId="0" fontId="9" fillId="0" borderId="0" xfId="0" applyFont="1">
      <alignment vertical="center"/>
    </xf>
    <xf numFmtId="0" fontId="19" fillId="0" borderId="4" xfId="0" applyFont="1" applyBorder="1" applyAlignment="1">
      <alignment horizontal="left" vertical="top" wrapText="1"/>
    </xf>
    <xf numFmtId="166" fontId="6" fillId="10" borderId="4" xfId="17" applyNumberFormat="1" applyFont="1" applyFill="1" applyBorder="1" applyAlignment="1" applyProtection="1">
      <alignment horizontal="center" vertical="top" wrapText="1"/>
    </xf>
    <xf numFmtId="166" fontId="6" fillId="10" borderId="4" xfId="17" applyNumberFormat="1" applyFont="1" applyFill="1" applyBorder="1" applyAlignment="1" applyProtection="1">
      <alignment vertical="top"/>
    </xf>
    <xf numFmtId="166" fontId="6" fillId="10" borderId="4" xfId="17" applyNumberFormat="1" applyFont="1" applyFill="1" applyBorder="1" applyAlignment="1" applyProtection="1">
      <alignment horizontal="right" vertical="top"/>
    </xf>
    <xf numFmtId="166" fontId="4" fillId="10" borderId="4" xfId="17" applyNumberFormat="1" applyFont="1" applyFill="1" applyBorder="1" applyAlignment="1" applyProtection="1">
      <alignment horizontal="right" vertical="top"/>
    </xf>
    <xf numFmtId="166" fontId="6" fillId="10" borderId="4" xfId="17" applyNumberFormat="1" applyFont="1" applyFill="1" applyBorder="1" applyAlignment="1" applyProtection="1">
      <alignment horizontal="right" vertical="top" wrapText="1"/>
    </xf>
    <xf numFmtId="166" fontId="4" fillId="10" borderId="4" xfId="17" applyNumberFormat="1" applyFont="1" applyFill="1" applyBorder="1" applyAlignment="1" applyProtection="1">
      <alignment horizontal="right" vertical="top" wrapText="1"/>
    </xf>
    <xf numFmtId="168" fontId="4" fillId="10" borderId="4" xfId="17" applyNumberFormat="1" applyFont="1" applyFill="1" applyBorder="1" applyAlignment="1" applyProtection="1">
      <alignment horizontal="right" vertical="top" wrapText="1"/>
    </xf>
    <xf numFmtId="169" fontId="6" fillId="10" borderId="4" xfId="1" applyNumberFormat="1" applyFont="1" applyFill="1" applyBorder="1" applyAlignment="1">
      <alignment vertical="top"/>
      <protection locked="0"/>
    </xf>
    <xf numFmtId="166" fontId="5" fillId="10" borderId="4" xfId="17" applyNumberFormat="1" applyFont="1" applyFill="1" applyBorder="1" applyAlignment="1" applyProtection="1">
      <alignment horizontal="right" vertical="top" wrapText="1"/>
    </xf>
    <xf numFmtId="0" fontId="4" fillId="10" borderId="0" xfId="35" applyFont="1" applyFill="1" applyAlignment="1">
      <alignment vertical="top"/>
    </xf>
    <xf numFmtId="166" fontId="8" fillId="10" borderId="4" xfId="0" applyNumberFormat="1" applyFont="1" applyFill="1" applyBorder="1">
      <alignment vertical="center"/>
    </xf>
    <xf numFmtId="0" fontId="33" fillId="0" borderId="4" xfId="0" applyFont="1" applyBorder="1" applyAlignment="1">
      <alignment horizontal="left" vertical="top" wrapText="1"/>
    </xf>
    <xf numFmtId="0" fontId="33" fillId="0" borderId="4" xfId="0" applyFont="1" applyBorder="1" applyAlignment="1">
      <alignment horizontal="right" vertical="top" wrapText="1"/>
    </xf>
    <xf numFmtId="0" fontId="33" fillId="0" borderId="0" xfId="0" applyFont="1" applyAlignment="1">
      <alignment horizontal="right" vertical="top"/>
    </xf>
    <xf numFmtId="0" fontId="33" fillId="0" borderId="0" xfId="0" applyFont="1" applyAlignment="1">
      <alignment horizontal="left" vertical="top"/>
    </xf>
    <xf numFmtId="175" fontId="33" fillId="0" borderId="4" xfId="0" applyNumberFormat="1" applyFont="1" applyBorder="1" applyAlignment="1">
      <alignment horizontal="left" vertical="top" shrinkToFit="1"/>
    </xf>
    <xf numFmtId="1" fontId="19" fillId="0" borderId="4" xfId="0" applyNumberFormat="1" applyFont="1" applyBorder="1" applyAlignment="1">
      <alignment horizontal="left" vertical="top" shrinkToFit="1"/>
    </xf>
    <xf numFmtId="0" fontId="36" fillId="0" borderId="4" xfId="0" applyFont="1" applyBorder="1" applyAlignment="1">
      <alignment horizontal="left" vertical="top" wrapText="1"/>
    </xf>
    <xf numFmtId="3" fontId="19" fillId="0" borderId="4" xfId="0" applyNumberFormat="1" applyFont="1" applyBorder="1" applyAlignment="1">
      <alignment horizontal="right" vertical="top" shrinkToFit="1"/>
    </xf>
    <xf numFmtId="0" fontId="19" fillId="0" borderId="0" xfId="0" applyFont="1" applyAlignment="1">
      <alignment horizontal="left" vertical="top"/>
    </xf>
    <xf numFmtId="0" fontId="20" fillId="0" borderId="4" xfId="0" applyFont="1" applyBorder="1" applyAlignment="1">
      <alignment horizontal="left" vertical="top" wrapText="1"/>
    </xf>
    <xf numFmtId="1" fontId="20" fillId="0" borderId="4" xfId="0" applyNumberFormat="1" applyFont="1" applyBorder="1" applyAlignment="1">
      <alignment horizontal="left" vertical="top" shrinkToFit="1"/>
    </xf>
    <xf numFmtId="0" fontId="31" fillId="0" borderId="4" xfId="0" applyFont="1" applyBorder="1" applyAlignment="1">
      <alignment horizontal="left" vertical="top" wrapText="1"/>
    </xf>
    <xf numFmtId="3" fontId="20" fillId="0" borderId="4" xfId="0" applyNumberFormat="1" applyFont="1" applyBorder="1" applyAlignment="1">
      <alignment horizontal="right" vertical="top" shrinkToFit="1"/>
    </xf>
    <xf numFmtId="166" fontId="36" fillId="0" borderId="4" xfId="1" applyNumberFormat="1" applyFont="1" applyBorder="1" applyAlignment="1" applyProtection="1">
      <alignment horizontal="right" vertical="top" wrapText="1"/>
    </xf>
    <xf numFmtId="3" fontId="31" fillId="0" borderId="4" xfId="0" applyNumberFormat="1" applyFont="1" applyBorder="1" applyAlignment="1">
      <alignment horizontal="right" vertical="top" wrapText="1"/>
    </xf>
    <xf numFmtId="0" fontId="33" fillId="0" borderId="4" xfId="0" applyFont="1" applyBorder="1" applyAlignment="1">
      <alignment horizontal="left" vertical="top"/>
    </xf>
    <xf numFmtId="3" fontId="33" fillId="0" borderId="4" xfId="0" applyNumberFormat="1" applyFont="1" applyBorder="1" applyAlignment="1">
      <alignment horizontal="right" vertical="top" shrinkToFit="1"/>
    </xf>
    <xf numFmtId="3" fontId="20" fillId="0" borderId="4" xfId="0" applyNumberFormat="1" applyFont="1" applyBorder="1" applyAlignment="1">
      <alignment horizontal="right" vertical="top"/>
    </xf>
    <xf numFmtId="1" fontId="36" fillId="0" borderId="4" xfId="0" applyNumberFormat="1" applyFont="1" applyBorder="1" applyAlignment="1">
      <alignment horizontal="left" vertical="top" shrinkToFit="1"/>
    </xf>
    <xf numFmtId="3" fontId="36" fillId="0" borderId="4" xfId="0" applyNumberFormat="1" applyFont="1" applyBorder="1" applyAlignment="1">
      <alignment horizontal="right" vertical="top" shrinkToFit="1"/>
    </xf>
    <xf numFmtId="1" fontId="31" fillId="0" borderId="4" xfId="0" applyNumberFormat="1" applyFont="1" applyBorder="1" applyAlignment="1">
      <alignment horizontal="left" vertical="top" shrinkToFit="1"/>
    </xf>
    <xf numFmtId="3" fontId="31" fillId="0" borderId="4" xfId="0" applyNumberFormat="1" applyFont="1" applyBorder="1" applyAlignment="1">
      <alignment horizontal="right" vertical="top" shrinkToFit="1"/>
    </xf>
    <xf numFmtId="3" fontId="51" fillId="0" borderId="4" xfId="0" applyNumberFormat="1" applyFont="1" applyBorder="1" applyAlignment="1">
      <alignment horizontal="right" vertical="top" shrinkToFit="1"/>
    </xf>
    <xf numFmtId="3" fontId="33" fillId="0" borderId="4" xfId="0" applyNumberFormat="1" applyFont="1" applyBorder="1" applyAlignment="1">
      <alignment horizontal="right" vertical="top" wrapText="1"/>
    </xf>
    <xf numFmtId="3" fontId="36" fillId="0" borderId="4" xfId="0" applyNumberFormat="1" applyFont="1" applyBorder="1" applyAlignment="1">
      <alignment horizontal="right" vertical="top" wrapText="1"/>
    </xf>
    <xf numFmtId="1" fontId="33" fillId="0" borderId="4" xfId="0" applyNumberFormat="1" applyFont="1" applyBorder="1" applyAlignment="1">
      <alignment horizontal="left" vertical="top" shrinkToFit="1"/>
    </xf>
    <xf numFmtId="3" fontId="31" fillId="0" borderId="4" xfId="0" applyNumberFormat="1" applyFont="1" applyBorder="1" applyAlignment="1">
      <alignment horizontal="right" vertical="top"/>
    </xf>
    <xf numFmtId="0" fontId="31" fillId="0" borderId="4" xfId="0" applyFont="1" applyBorder="1" applyAlignment="1">
      <alignment horizontal="left" vertical="top"/>
    </xf>
    <xf numFmtId="0" fontId="20" fillId="0" borderId="4" xfId="0" applyFont="1" applyBorder="1" applyAlignment="1">
      <alignment horizontal="left" vertical="top"/>
    </xf>
    <xf numFmtId="166" fontId="11" fillId="0" borderId="0" xfId="0" applyNumberFormat="1" applyFont="1" applyFill="1" applyAlignment="1">
      <alignment vertical="top"/>
    </xf>
    <xf numFmtId="166" fontId="11" fillId="0" borderId="0" xfId="0" applyNumberFormat="1" applyFont="1" applyFill="1" applyAlignment="1">
      <alignment horizontal="left" vertical="top"/>
    </xf>
    <xf numFmtId="166" fontId="11" fillId="0" borderId="4" xfId="1" applyNumberFormat="1" applyFont="1" applyFill="1" applyBorder="1" applyAlignment="1" applyProtection="1">
      <alignment horizontal="center" vertical="top" wrapText="1"/>
    </xf>
    <xf numFmtId="166" fontId="25" fillId="0" borderId="0" xfId="0" applyNumberFormat="1" applyFont="1" applyFill="1" applyAlignment="1">
      <alignment horizontal="right" vertical="top"/>
    </xf>
    <xf numFmtId="166" fontId="25" fillId="0" borderId="4" xfId="31" applyNumberFormat="1" applyFont="1" applyFill="1" applyBorder="1" applyAlignment="1" applyProtection="1">
      <alignment horizontal="left" vertical="top"/>
    </xf>
    <xf numFmtId="166" fontId="11" fillId="0" borderId="0" xfId="0" applyNumberFormat="1" applyFont="1" applyFill="1" applyAlignment="1">
      <alignment horizontal="right" vertical="top"/>
    </xf>
    <xf numFmtId="166" fontId="25" fillId="0" borderId="4" xfId="0" applyNumberFormat="1" applyFont="1" applyFill="1" applyBorder="1" applyAlignment="1">
      <alignment horizontal="left" vertical="top"/>
    </xf>
    <xf numFmtId="166" fontId="11" fillId="0" borderId="4" xfId="0" applyNumberFormat="1" applyFont="1" applyFill="1" applyBorder="1" applyAlignment="1">
      <alignment horizontal="left" vertical="top"/>
    </xf>
    <xf numFmtId="166" fontId="11" fillId="0" borderId="4" xfId="31" applyNumberFormat="1" applyFont="1" applyFill="1" applyBorder="1" applyAlignment="1" applyProtection="1">
      <alignment horizontal="left" vertical="top"/>
    </xf>
    <xf numFmtId="166" fontId="25" fillId="0" borderId="0" xfId="31" applyNumberFormat="1" applyFont="1" applyFill="1" applyAlignment="1" applyProtection="1">
      <alignment horizontal="left" vertical="top"/>
    </xf>
    <xf numFmtId="166" fontId="11" fillId="0" borderId="0" xfId="31" applyNumberFormat="1" applyFont="1" applyFill="1" applyAlignment="1" applyProtection="1">
      <alignment horizontal="left" vertical="top"/>
    </xf>
    <xf numFmtId="166" fontId="11" fillId="0" borderId="4" xfId="0" applyNumberFormat="1" applyFont="1" applyFill="1" applyBorder="1" applyAlignment="1">
      <alignment vertical="top"/>
    </xf>
    <xf numFmtId="166" fontId="11" fillId="0" borderId="4" xfId="31" applyNumberFormat="1" applyFont="1" applyFill="1" applyBorder="1" applyAlignment="1" applyProtection="1">
      <alignment vertical="top"/>
    </xf>
    <xf numFmtId="173" fontId="30" fillId="0" borderId="4" xfId="0" applyNumberFormat="1" applyFont="1" applyFill="1" applyBorder="1" applyAlignment="1">
      <alignment vertical="top"/>
    </xf>
    <xf numFmtId="0" fontId="36" fillId="0" borderId="4" xfId="0" applyFont="1" applyBorder="1" applyAlignment="1">
      <alignment horizontal="center" vertical="top" wrapText="1"/>
    </xf>
    <xf numFmtId="0" fontId="33" fillId="0" borderId="4" xfId="0" applyFont="1" applyBorder="1" applyAlignment="1">
      <alignment horizontal="left" vertical="top" wrapText="1"/>
    </xf>
    <xf numFmtId="170" fontId="33" fillId="0" borderId="18" xfId="0" applyNumberFormat="1" applyFont="1" applyFill="1" applyBorder="1" applyAlignment="1">
      <alignment horizontal="center" vertical="top"/>
    </xf>
    <xf numFmtId="170" fontId="33" fillId="0" borderId="19" xfId="0" applyNumberFormat="1" applyFont="1" applyFill="1" applyBorder="1" applyAlignment="1">
      <alignment horizontal="center" vertical="top"/>
    </xf>
    <xf numFmtId="0" fontId="33" fillId="0" borderId="18" xfId="0" applyFont="1" applyFill="1" applyBorder="1" applyAlignment="1">
      <alignment horizontal="center" vertical="top"/>
    </xf>
    <xf numFmtId="0" fontId="33" fillId="0" borderId="19" xfId="0" applyFont="1" applyFill="1" applyBorder="1" applyAlignment="1">
      <alignment horizontal="center" vertical="top"/>
    </xf>
    <xf numFmtId="0" fontId="33" fillId="0" borderId="4" xfId="29" applyFont="1" applyFill="1" applyBorder="1" applyAlignment="1" applyProtection="1">
      <alignment horizontal="center" vertical="top"/>
    </xf>
    <xf numFmtId="170" fontId="33" fillId="0" borderId="4" xfId="0" applyNumberFormat="1" applyFont="1" applyFill="1" applyBorder="1" applyAlignment="1">
      <alignment horizontal="center" vertical="top"/>
    </xf>
    <xf numFmtId="0" fontId="33" fillId="0" borderId="18" xfId="12" applyNumberFormat="1" applyFont="1" applyFill="1" applyBorder="1" applyAlignment="1" applyProtection="1">
      <alignment horizontal="center" vertical="top"/>
    </xf>
    <xf numFmtId="0" fontId="33" fillId="0" borderId="19" xfId="12" applyNumberFormat="1" applyFont="1" applyFill="1" applyBorder="1" applyAlignment="1" applyProtection="1">
      <alignment horizontal="center" vertical="top"/>
    </xf>
    <xf numFmtId="38" fontId="30" fillId="0" borderId="4" xfId="0" applyNumberFormat="1" applyFont="1" applyFill="1" applyBorder="1" applyAlignment="1">
      <alignment horizontal="left" vertical="top" wrapText="1"/>
    </xf>
    <xf numFmtId="0" fontId="33" fillId="0" borderId="4" xfId="0" applyFont="1" applyFill="1" applyBorder="1" applyAlignment="1">
      <alignment horizontal="center" vertical="top" wrapText="1"/>
    </xf>
    <xf numFmtId="0" fontId="33" fillId="0" borderId="4" xfId="0" applyFont="1" applyFill="1" applyBorder="1" applyAlignment="1">
      <alignment horizontal="center" vertical="top"/>
    </xf>
    <xf numFmtId="0" fontId="33" fillId="0" borderId="18" xfId="0" applyFont="1" applyBorder="1" applyAlignment="1">
      <alignment horizontal="left" vertical="top" wrapText="1"/>
    </xf>
    <xf numFmtId="0" fontId="33" fillId="0" borderId="19" xfId="0" applyFont="1" applyBorder="1" applyAlignment="1">
      <alignment horizontal="left" vertical="top" wrapText="1"/>
    </xf>
    <xf numFmtId="0" fontId="51" fillId="0" borderId="4" xfId="0" applyFont="1" applyBorder="1" applyAlignment="1">
      <alignment horizontal="left" vertical="top" wrapText="1"/>
    </xf>
    <xf numFmtId="0" fontId="36" fillId="0" borderId="4" xfId="0" applyFont="1" applyBorder="1" applyAlignment="1">
      <alignment horizontal="left" vertical="top" wrapText="1"/>
    </xf>
    <xf numFmtId="0" fontId="40" fillId="0" borderId="18" xfId="12" applyNumberFormat="1" applyFont="1" applyFill="1" applyBorder="1" applyAlignment="1" applyProtection="1">
      <alignment horizontal="center" vertical="top" wrapText="1"/>
    </xf>
    <xf numFmtId="0" fontId="40" fillId="0" borderId="22" xfId="12" applyNumberFormat="1" applyFont="1" applyFill="1" applyBorder="1" applyAlignment="1" applyProtection="1">
      <alignment horizontal="center" vertical="top" wrapText="1"/>
    </xf>
    <xf numFmtId="0" fontId="40" fillId="0" borderId="19" xfId="12" applyNumberFormat="1" applyFont="1" applyFill="1" applyBorder="1" applyAlignment="1" applyProtection="1">
      <alignment horizontal="center" vertical="top" wrapText="1"/>
    </xf>
    <xf numFmtId="0" fontId="33" fillId="0" borderId="18" xfId="0" applyFont="1" applyFill="1" applyBorder="1" applyAlignment="1" applyProtection="1">
      <alignment horizontal="center" vertical="top"/>
      <protection locked="0"/>
    </xf>
    <xf numFmtId="0" fontId="33" fillId="0" borderId="19" xfId="0" applyFont="1" applyFill="1" applyBorder="1" applyAlignment="1" applyProtection="1">
      <alignment horizontal="center" vertical="top"/>
      <protection locked="0"/>
    </xf>
    <xf numFmtId="166" fontId="11" fillId="0" borderId="17" xfId="1" applyNumberFormat="1" applyFont="1" applyFill="1" applyBorder="1" applyAlignment="1" applyProtection="1">
      <alignment horizontal="center" vertical="top" wrapText="1"/>
    </xf>
    <xf numFmtId="166" fontId="11" fillId="0" borderId="20" xfId="1" applyNumberFormat="1" applyFont="1" applyFill="1" applyBorder="1" applyAlignment="1" applyProtection="1">
      <alignment horizontal="center" vertical="top" wrapText="1"/>
    </xf>
    <xf numFmtId="166" fontId="11" fillId="0" borderId="18" xfId="1" applyNumberFormat="1" applyFont="1" applyFill="1" applyBorder="1" applyAlignment="1" applyProtection="1">
      <alignment horizontal="center" vertical="top" wrapText="1"/>
    </xf>
    <xf numFmtId="166" fontId="11" fillId="0" borderId="19" xfId="1" applyNumberFormat="1" applyFont="1" applyFill="1" applyBorder="1" applyAlignment="1" applyProtection="1">
      <alignment horizontal="center" vertical="top" wrapText="1"/>
    </xf>
    <xf numFmtId="0" fontId="11" fillId="0" borderId="4" xfId="0" applyFont="1" applyBorder="1" applyAlignment="1">
      <alignment horizontal="left" vertical="top" wrapText="1"/>
    </xf>
    <xf numFmtId="0" fontId="23" fillId="0" borderId="0" xfId="0" applyFont="1" applyAlignment="1">
      <alignment horizontal="left" vertical="top" wrapText="1"/>
    </xf>
    <xf numFmtId="0" fontId="24" fillId="0" borderId="4" xfId="0" applyFont="1" applyBorder="1" applyAlignment="1">
      <alignment horizontal="center" vertical="top" wrapText="1"/>
    </xf>
    <xf numFmtId="0" fontId="11" fillId="0" borderId="4" xfId="0" applyFont="1" applyBorder="1" applyAlignment="1">
      <alignment horizontal="center" vertical="top" wrapText="1"/>
    </xf>
    <xf numFmtId="0" fontId="19" fillId="0" borderId="4" xfId="0" applyFont="1" applyBorder="1" applyAlignment="1">
      <alignment horizontal="center" vertical="top" wrapText="1"/>
    </xf>
    <xf numFmtId="166" fontId="19" fillId="0" borderId="4" xfId="1" applyNumberFormat="1" applyFont="1" applyBorder="1" applyAlignment="1" applyProtection="1">
      <alignment horizontal="center" vertical="top" wrapText="1"/>
    </xf>
    <xf numFmtId="0" fontId="19" fillId="0" borderId="4" xfId="0" applyFont="1" applyBorder="1" applyAlignment="1">
      <alignment horizontal="left" vertical="top" wrapText="1"/>
    </xf>
    <xf numFmtId="0" fontId="5" fillId="0" borderId="4" xfId="0" applyFont="1" applyBorder="1" applyAlignment="1">
      <alignment horizontal="center" vertical="top" wrapText="1"/>
    </xf>
    <xf numFmtId="166" fontId="5" fillId="0" borderId="4" xfId="1" applyNumberFormat="1" applyFont="1" applyBorder="1" applyAlignment="1" applyProtection="1">
      <alignment horizontal="center" vertical="top" wrapText="1"/>
    </xf>
    <xf numFmtId="0" fontId="5" fillId="0" borderId="4" xfId="0" applyFont="1" applyBorder="1" applyAlignment="1">
      <alignment horizontal="left" vertical="top" wrapText="1"/>
    </xf>
    <xf numFmtId="0" fontId="11" fillId="0" borderId="3" xfId="0" applyFont="1" applyBorder="1" applyAlignment="1">
      <alignment horizontal="center" vertical="top"/>
    </xf>
    <xf numFmtId="0" fontId="12" fillId="0" borderId="4" xfId="0" applyFont="1" applyBorder="1" applyAlignment="1">
      <alignment horizontal="center" vertical="top"/>
    </xf>
    <xf numFmtId="0" fontId="12" fillId="0" borderId="4" xfId="0" applyFont="1" applyBorder="1" applyAlignment="1">
      <alignment horizontal="center" vertical="top" wrapText="1"/>
    </xf>
    <xf numFmtId="0" fontId="5" fillId="0" borderId="0" xfId="35" applyFont="1" applyFill="1" applyAlignment="1">
      <alignment horizontal="center" vertical="top" wrapText="1"/>
    </xf>
    <xf numFmtId="0" fontId="5" fillId="0" borderId="1" xfId="34" applyFont="1" applyFill="1" applyBorder="1" applyAlignment="1" applyProtection="1">
      <alignment horizontal="center" vertical="top" wrapText="1"/>
    </xf>
    <xf numFmtId="0" fontId="5" fillId="0" borderId="0" xfId="34" applyFont="1" applyFill="1" applyBorder="1" applyAlignment="1" applyProtection="1">
      <alignment horizontal="center" vertical="top" wrapText="1"/>
    </xf>
    <xf numFmtId="0" fontId="5" fillId="0" borderId="2" xfId="34" applyFont="1" applyFill="1" applyBorder="1" applyAlignment="1" applyProtection="1">
      <alignment horizontal="center" vertical="top" wrapText="1"/>
    </xf>
    <xf numFmtId="0" fontId="5" fillId="0" borderId="3" xfId="34" applyFont="1" applyFill="1" applyBorder="1" applyAlignment="1" applyProtection="1">
      <alignment horizontal="center" vertical="top" wrapText="1"/>
    </xf>
    <xf numFmtId="0" fontId="5" fillId="0" borderId="4" xfId="34" applyFont="1" applyFill="1" applyBorder="1" applyAlignment="1" applyProtection="1">
      <alignment vertical="top" wrapText="1"/>
    </xf>
    <xf numFmtId="0" fontId="5" fillId="0" borderId="4" xfId="34" applyFont="1" applyFill="1" applyBorder="1" applyAlignment="1" applyProtection="1">
      <alignment horizontal="right" vertical="top" wrapText="1"/>
    </xf>
    <xf numFmtId="164" fontId="29" fillId="0" borderId="0" xfId="0" applyNumberFormat="1" applyFont="1" applyFill="1" applyAlignment="1">
      <alignment vertical="top"/>
    </xf>
    <xf numFmtId="166" fontId="29" fillId="0" borderId="0" xfId="0" applyNumberFormat="1" applyFont="1" applyFill="1" applyAlignment="1">
      <alignment vertical="top"/>
    </xf>
    <xf numFmtId="166" fontId="30" fillId="0" borderId="0" xfId="0" applyNumberFormat="1" applyFont="1" applyFill="1" applyAlignment="1">
      <alignment vertical="top"/>
    </xf>
    <xf numFmtId="0" fontId="1" fillId="7" borderId="0" xfId="0" applyFont="1" applyFill="1" applyAlignment="1">
      <alignment vertical="top"/>
    </xf>
    <xf numFmtId="0" fontId="33" fillId="7" borderId="4" xfId="0" applyFont="1" applyFill="1" applyBorder="1" applyAlignment="1">
      <alignment vertical="top"/>
    </xf>
    <xf numFmtId="1" fontId="31" fillId="7" borderId="4" xfId="0" applyNumberFormat="1" applyFont="1" applyFill="1" applyBorder="1" applyAlignment="1" applyProtection="1">
      <alignment horizontal="left" vertical="top"/>
      <protection locked="0"/>
    </xf>
    <xf numFmtId="167" fontId="31" fillId="7" borderId="4" xfId="0" applyNumberFormat="1" applyFont="1" applyFill="1" applyBorder="1" applyAlignment="1" applyProtection="1">
      <alignment horizontal="left" vertical="top" wrapText="1"/>
      <protection locked="0"/>
    </xf>
    <xf numFmtId="164" fontId="31" fillId="7" borderId="4" xfId="0" applyNumberFormat="1" applyFont="1" applyFill="1" applyBorder="1" applyAlignment="1" applyProtection="1">
      <alignment horizontal="left" vertical="top"/>
      <protection locked="0"/>
    </xf>
    <xf numFmtId="166" fontId="29" fillId="7" borderId="4" xfId="1" applyNumberFormat="1" applyFont="1" applyFill="1" applyBorder="1" applyAlignment="1" applyProtection="1">
      <alignment vertical="top"/>
    </xf>
    <xf numFmtId="165" fontId="7" fillId="7" borderId="0" xfId="1" applyFill="1">
      <protection locked="0"/>
    </xf>
    <xf numFmtId="0" fontId="1" fillId="7" borderId="0" xfId="0" applyFont="1" applyFill="1" applyAlignment="1">
      <alignment horizontal="left" vertical="top"/>
    </xf>
    <xf numFmtId="166" fontId="1" fillId="7" borderId="0" xfId="1" applyNumberFormat="1" applyFont="1" applyFill="1" applyAlignment="1" applyProtection="1">
      <alignment vertical="top"/>
    </xf>
    <xf numFmtId="166" fontId="1" fillId="7" borderId="0" xfId="1" applyNumberFormat="1" applyFont="1" applyFill="1" applyAlignment="1">
      <alignment vertical="top"/>
      <protection locked="0"/>
    </xf>
    <xf numFmtId="165" fontId="15" fillId="7" borderId="0" xfId="1" applyFont="1" applyFill="1" applyAlignment="1">
      <alignment vertical="top"/>
      <protection locked="0"/>
    </xf>
    <xf numFmtId="0" fontId="29" fillId="7" borderId="4" xfId="0" applyFont="1" applyFill="1" applyBorder="1" applyAlignment="1">
      <alignment vertical="top"/>
    </xf>
    <xf numFmtId="0" fontId="31" fillId="7" borderId="4" xfId="0" applyFont="1" applyFill="1" applyBorder="1" applyAlignment="1" applyProtection="1">
      <alignment horizontal="left" vertical="top"/>
      <protection locked="0"/>
    </xf>
    <xf numFmtId="0" fontId="31" fillId="7" borderId="4" xfId="0" applyFont="1" applyFill="1" applyBorder="1" applyAlignment="1" applyProtection="1">
      <alignment vertical="top" wrapText="1"/>
      <protection locked="0"/>
    </xf>
    <xf numFmtId="166" fontId="20" fillId="7" borderId="4" xfId="0" applyNumberFormat="1" applyFont="1" applyFill="1" applyBorder="1" applyAlignment="1" applyProtection="1">
      <alignment vertical="top" wrapText="1"/>
      <protection locked="0"/>
    </xf>
    <xf numFmtId="166" fontId="29" fillId="7" borderId="0" xfId="0" applyNumberFormat="1" applyFont="1" applyFill="1" applyAlignment="1">
      <alignment vertical="top"/>
    </xf>
  </cellXfs>
  <cellStyles count="43">
    <cellStyle name="Comma" xfId="1" builtinId="3"/>
    <cellStyle name="Comma 2" xfId="3" xr:uid="{00000000-0005-0000-0000-000031000000}"/>
    <cellStyle name="Comma 2 2" xfId="4" xr:uid="{00000000-0005-0000-0000-000032000000}"/>
    <cellStyle name="Comma 2 2 2" xfId="5" xr:uid="{00000000-0005-0000-0000-000033000000}"/>
    <cellStyle name="Comma 2 2 2 2" xfId="6" xr:uid="{00000000-0005-0000-0000-000034000000}"/>
    <cellStyle name="Comma 2 2 2 2 2" xfId="7" xr:uid="{00000000-0005-0000-0000-000035000000}"/>
    <cellStyle name="Comma 2 2 2 3" xfId="8" xr:uid="{00000000-0005-0000-0000-000036000000}"/>
    <cellStyle name="Comma 2 2 3" xfId="9" xr:uid="{00000000-0005-0000-0000-000037000000}"/>
    <cellStyle name="Comma 2 3" xfId="10" xr:uid="{00000000-0005-0000-0000-000038000000}"/>
    <cellStyle name="Comma 2 4" xfId="11" xr:uid="{00000000-0005-0000-0000-000039000000}"/>
    <cellStyle name="Comma 3" xfId="12" xr:uid="{00000000-0005-0000-0000-00003A000000}"/>
    <cellStyle name="Comma 3 2" xfId="13" xr:uid="{00000000-0005-0000-0000-00003B000000}"/>
    <cellStyle name="Comma 3 2 2" xfId="14" xr:uid="{00000000-0005-0000-0000-00003C000000}"/>
    <cellStyle name="Comma 4" xfId="15" xr:uid="{00000000-0005-0000-0000-00003D000000}"/>
    <cellStyle name="Comma 4 2" xfId="16" xr:uid="{00000000-0005-0000-0000-00003E000000}"/>
    <cellStyle name="Comma 4 2 2" xfId="17" xr:uid="{00000000-0005-0000-0000-00003F000000}"/>
    <cellStyle name="Comma 4 2 2 2" xfId="18" xr:uid="{00000000-0005-0000-0000-000040000000}"/>
    <cellStyle name="Comma 4 3" xfId="19" xr:uid="{00000000-0005-0000-0000-000041000000}"/>
    <cellStyle name="Comma 4 3 2" xfId="20" xr:uid="{00000000-0005-0000-0000-000042000000}"/>
    <cellStyle name="Comma 4 4" xfId="21" xr:uid="{00000000-0005-0000-0000-000043000000}"/>
    <cellStyle name="Comma 5" xfId="22" xr:uid="{00000000-0005-0000-0000-000044000000}"/>
    <cellStyle name="Comma 5 2" xfId="23" xr:uid="{00000000-0005-0000-0000-000045000000}"/>
    <cellStyle name="Comma 5 2 2" xfId="24" xr:uid="{00000000-0005-0000-0000-000046000000}"/>
    <cellStyle name="Comma 6" xfId="25" xr:uid="{00000000-0005-0000-0000-000047000000}"/>
    <cellStyle name="Comma 7" xfId="26" xr:uid="{00000000-0005-0000-0000-000048000000}"/>
    <cellStyle name="Comma 8" xfId="27" xr:uid="{00000000-0005-0000-0000-000049000000}"/>
    <cellStyle name="Normal" xfId="0" builtinId="0"/>
    <cellStyle name="Normal 10" xfId="28" xr:uid="{00000000-0005-0000-0000-00004A000000}"/>
    <cellStyle name="Normal 2" xfId="29" xr:uid="{00000000-0005-0000-0000-00004B000000}"/>
    <cellStyle name="Normal 2 2" xfId="30" xr:uid="{00000000-0005-0000-0000-00004C000000}"/>
    <cellStyle name="Normal 2 3" xfId="31" xr:uid="{00000000-0005-0000-0000-00004D000000}"/>
    <cellStyle name="Normal 2 3 2" xfId="32" xr:uid="{00000000-0005-0000-0000-00004E000000}"/>
    <cellStyle name="Normal 3" xfId="33" xr:uid="{00000000-0005-0000-0000-00004F000000}"/>
    <cellStyle name="Normal 3 2" xfId="34" xr:uid="{00000000-0005-0000-0000-000050000000}"/>
    <cellStyle name="Normal 4" xfId="35" xr:uid="{00000000-0005-0000-0000-000051000000}"/>
    <cellStyle name="Normal 5" xfId="36" xr:uid="{00000000-0005-0000-0000-000052000000}"/>
    <cellStyle name="Normal 5 2" xfId="37" xr:uid="{00000000-0005-0000-0000-000053000000}"/>
    <cellStyle name="Normal 6" xfId="38" xr:uid="{00000000-0005-0000-0000-000054000000}"/>
    <cellStyle name="Normal 7" xfId="39" xr:uid="{00000000-0005-0000-0000-000055000000}"/>
    <cellStyle name="Normal 8" xfId="40" xr:uid="{00000000-0005-0000-0000-000056000000}"/>
    <cellStyle name="Normal 9" xfId="41" xr:uid="{00000000-0005-0000-0000-000057000000}"/>
    <cellStyle name="Percent" xfId="2" builtinId="5"/>
    <cellStyle name="Percent 2" xfId="42" xr:uid="{00000000-0005-0000-0000-000058000000}"/>
  </cellStyles>
  <dxfs count="2">
    <dxf>
      <fill>
        <patternFill patternType="solid">
          <bgColor rgb="FF92D050"/>
        </patternFill>
      </fill>
    </dxf>
    <dxf>
      <fill>
        <patternFill patternType="solid">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ul%20Kimwele/Desktop/Book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TU4777"/>
  <sheetViews>
    <sheetView tabSelected="1" view="pageBreakPreview" zoomScale="60" zoomScaleNormal="65" workbookViewId="0">
      <pane ySplit="2" topLeftCell="A4771" activePane="bottomLeft" state="frozen"/>
      <selection activeCell="AQ4" sqref="AQ4"/>
      <selection pane="bottomLeft" activeCell="D4775" sqref="D4775"/>
    </sheetView>
  </sheetViews>
  <sheetFormatPr defaultColWidth="8.73046875" defaultRowHeight="15" outlineLevelRow="3"/>
  <cols>
    <col min="1" max="2" width="8.73046875" style="309"/>
    <col min="3" max="3" width="12.265625" style="309" customWidth="1"/>
    <col min="4" max="4" width="68.46484375" style="309" customWidth="1"/>
    <col min="5" max="5" width="37.46484375" style="310" customWidth="1"/>
    <col min="6" max="6" width="20.33203125" style="309" hidden="1" customWidth="1"/>
    <col min="7" max="7" width="20.9296875" style="309" hidden="1" customWidth="1"/>
    <col min="8" max="8" width="14" style="132" hidden="1" customWidth="1"/>
    <col min="9" max="9" width="14.19921875" style="309" hidden="1" customWidth="1"/>
    <col min="10" max="10" width="0" style="309" hidden="1" customWidth="1"/>
    <col min="11" max="11" width="10.73046875" style="309" hidden="1" customWidth="1"/>
    <col min="12" max="41" width="0" style="309" hidden="1" customWidth="1"/>
    <col min="42" max="16384" width="8.73046875" style="309"/>
  </cols>
  <sheetData>
    <row r="1" spans="1:8" ht="27">
      <c r="A1" s="817" t="s">
        <v>0</v>
      </c>
      <c r="B1" s="818"/>
      <c r="C1" s="818"/>
      <c r="D1" s="818"/>
      <c r="E1" s="818"/>
      <c r="F1" s="818"/>
      <c r="G1" s="819"/>
    </row>
    <row r="2" spans="1:8" s="289" customFormat="1" ht="45">
      <c r="A2" s="311" t="s">
        <v>1</v>
      </c>
      <c r="B2" s="311" t="s">
        <v>2</v>
      </c>
      <c r="C2" s="312" t="s">
        <v>3</v>
      </c>
      <c r="D2" s="313" t="s">
        <v>4</v>
      </c>
      <c r="E2" s="314" t="s">
        <v>5</v>
      </c>
      <c r="F2" s="314" t="s">
        <v>6</v>
      </c>
      <c r="G2" s="314" t="s">
        <v>7</v>
      </c>
      <c r="H2" s="132"/>
    </row>
    <row r="3" spans="1:8" s="290" customFormat="1">
      <c r="A3" s="315"/>
      <c r="B3" s="315"/>
      <c r="C3" s="316" t="s">
        <v>8</v>
      </c>
      <c r="D3" s="317"/>
      <c r="E3" s="318"/>
      <c r="F3" s="319"/>
      <c r="G3" s="319"/>
      <c r="H3" s="132"/>
    </row>
    <row r="4" spans="1:8" s="290" customFormat="1" outlineLevel="1">
      <c r="A4" s="315"/>
      <c r="B4" s="315" t="s">
        <v>9</v>
      </c>
      <c r="C4" s="316" t="s">
        <v>10</v>
      </c>
      <c r="D4" s="317"/>
      <c r="E4" s="318"/>
      <c r="F4" s="319">
        <f t="shared" ref="F4:G4" si="0">E4*1.1</f>
        <v>0</v>
      </c>
      <c r="G4" s="319">
        <f t="shared" si="0"/>
        <v>0</v>
      </c>
      <c r="H4" s="132"/>
    </row>
    <row r="5" spans="1:8" s="290" customFormat="1" outlineLevel="1">
      <c r="A5" s="315"/>
      <c r="B5" s="315"/>
      <c r="C5" s="316" t="s">
        <v>11</v>
      </c>
      <c r="D5" s="317"/>
      <c r="E5" s="318"/>
      <c r="F5" s="319">
        <f t="shared" ref="F5:G5" si="1">E5*1.1</f>
        <v>0</v>
      </c>
      <c r="G5" s="319">
        <f t="shared" si="1"/>
        <v>0</v>
      </c>
      <c r="H5" s="132"/>
    </row>
    <row r="6" spans="1:8" s="290" customFormat="1" outlineLevel="1">
      <c r="A6" s="315"/>
      <c r="B6" s="315"/>
      <c r="C6" s="316" t="s">
        <v>12</v>
      </c>
      <c r="D6" s="317"/>
      <c r="E6" s="318"/>
      <c r="F6" s="319">
        <f t="shared" ref="F6:G6" si="2">E6*1.1</f>
        <v>0</v>
      </c>
      <c r="G6" s="319">
        <f t="shared" si="2"/>
        <v>0</v>
      </c>
      <c r="H6" s="132"/>
    </row>
    <row r="7" spans="1:8" s="290" customFormat="1" outlineLevel="3">
      <c r="A7" s="320"/>
      <c r="B7" s="320"/>
      <c r="C7" s="321">
        <v>2110100</v>
      </c>
      <c r="D7" s="322" t="s">
        <v>13</v>
      </c>
      <c r="E7" s="323">
        <f>E8</f>
        <v>589307167</v>
      </c>
      <c r="F7" s="319">
        <f t="shared" ref="F7:G7" si="3">E7*1.1</f>
        <v>648237883.70000005</v>
      </c>
      <c r="G7" s="319">
        <f t="shared" si="3"/>
        <v>713061672.07000005</v>
      </c>
      <c r="H7" s="132"/>
    </row>
    <row r="8" spans="1:8" s="290" customFormat="1" outlineLevel="3">
      <c r="A8" s="324"/>
      <c r="B8" s="324"/>
      <c r="C8" s="325">
        <v>2110101</v>
      </c>
      <c r="D8" s="326" t="s">
        <v>14</v>
      </c>
      <c r="E8" s="327">
        <v>589307167</v>
      </c>
      <c r="F8" s="319">
        <f t="shared" ref="F8:G8" si="4">E8*1.1</f>
        <v>648237883.70000005</v>
      </c>
      <c r="G8" s="319">
        <f t="shared" si="4"/>
        <v>713061672.07000005</v>
      </c>
      <c r="H8" s="132"/>
    </row>
    <row r="9" spans="1:8" s="290" customFormat="1" outlineLevel="3">
      <c r="A9" s="328"/>
      <c r="B9" s="328"/>
      <c r="C9" s="329">
        <v>2110200</v>
      </c>
      <c r="D9" s="330" t="s">
        <v>15</v>
      </c>
      <c r="E9" s="323">
        <f>E10</f>
        <v>580000</v>
      </c>
      <c r="F9" s="319">
        <f t="shared" ref="F9:G9" si="5">E9*1.1</f>
        <v>638000</v>
      </c>
      <c r="G9" s="319">
        <f t="shared" si="5"/>
        <v>701800</v>
      </c>
      <c r="H9" s="132"/>
    </row>
    <row r="10" spans="1:8" s="290" customFormat="1" outlineLevel="3">
      <c r="A10" s="324"/>
      <c r="B10" s="324"/>
      <c r="C10" s="325">
        <v>2110202</v>
      </c>
      <c r="D10" s="326" t="s">
        <v>15</v>
      </c>
      <c r="E10" s="331">
        <v>580000</v>
      </c>
      <c r="F10" s="319">
        <f t="shared" ref="F10:G10" si="6">E10*1.1</f>
        <v>638000</v>
      </c>
      <c r="G10" s="319">
        <f t="shared" si="6"/>
        <v>701800</v>
      </c>
      <c r="H10" s="132"/>
    </row>
    <row r="11" spans="1:8" s="290" customFormat="1" outlineLevel="3">
      <c r="A11" s="324"/>
      <c r="B11" s="324"/>
      <c r="C11" s="329">
        <v>2210100</v>
      </c>
      <c r="D11" s="330" t="s">
        <v>16</v>
      </c>
      <c r="E11" s="323">
        <f>E12+E13</f>
        <v>2330000</v>
      </c>
      <c r="F11" s="319">
        <f t="shared" ref="F11:G11" si="7">E11*1.1</f>
        <v>2563000</v>
      </c>
      <c r="G11" s="319">
        <f t="shared" si="7"/>
        <v>2819300</v>
      </c>
      <c r="H11" s="132"/>
    </row>
    <row r="12" spans="1:8" s="290" customFormat="1" outlineLevel="3">
      <c r="A12" s="324"/>
      <c r="B12" s="324"/>
      <c r="C12" s="325">
        <v>2210101</v>
      </c>
      <c r="D12" s="326" t="s">
        <v>17</v>
      </c>
      <c r="E12" s="331">
        <f>350000*13-3000000</f>
        <v>1550000</v>
      </c>
      <c r="F12" s="319">
        <f t="shared" ref="F12:G12" si="8">E12*1.1</f>
        <v>1705000.0000000002</v>
      </c>
      <c r="G12" s="319">
        <f t="shared" si="8"/>
        <v>1875500.0000000005</v>
      </c>
      <c r="H12" s="132"/>
    </row>
    <row r="13" spans="1:8" s="290" customFormat="1" outlineLevel="3">
      <c r="A13" s="324"/>
      <c r="B13" s="324"/>
      <c r="C13" s="325">
        <v>2210102</v>
      </c>
      <c r="D13" s="326" t="s">
        <v>18</v>
      </c>
      <c r="E13" s="331">
        <f>60000*13</f>
        <v>780000</v>
      </c>
      <c r="F13" s="319">
        <f t="shared" ref="F13:G13" si="9">E13*1.1</f>
        <v>858000.00000000012</v>
      </c>
      <c r="G13" s="319">
        <f t="shared" si="9"/>
        <v>943800.00000000023</v>
      </c>
      <c r="H13" s="132"/>
    </row>
    <row r="14" spans="1:8" s="290" customFormat="1" outlineLevel="3">
      <c r="A14" s="328"/>
      <c r="B14" s="328"/>
      <c r="C14" s="329">
        <v>2210200</v>
      </c>
      <c r="D14" s="330" t="s">
        <v>19</v>
      </c>
      <c r="E14" s="323">
        <f>E15+E16+E17</f>
        <v>300000</v>
      </c>
      <c r="F14" s="319">
        <f t="shared" ref="F14:G14" si="10">E14*1.1</f>
        <v>330000</v>
      </c>
      <c r="G14" s="319">
        <f t="shared" si="10"/>
        <v>363000.00000000006</v>
      </c>
      <c r="H14" s="132"/>
    </row>
    <row r="15" spans="1:8" s="290" customFormat="1" outlineLevel="3">
      <c r="A15" s="324"/>
      <c r="B15" s="324"/>
      <c r="C15" s="325">
        <v>2210201</v>
      </c>
      <c r="D15" s="326" t="s">
        <v>20</v>
      </c>
      <c r="E15" s="331">
        <v>150000</v>
      </c>
      <c r="F15" s="319">
        <f t="shared" ref="F15:G15" si="11">E15*1.1</f>
        <v>165000</v>
      </c>
      <c r="G15" s="319">
        <f t="shared" si="11"/>
        <v>181500.00000000003</v>
      </c>
      <c r="H15" s="132"/>
    </row>
    <row r="16" spans="1:8" s="290" customFormat="1" outlineLevel="3">
      <c r="A16" s="324"/>
      <c r="B16" s="324"/>
      <c r="C16" s="325">
        <v>2210202</v>
      </c>
      <c r="D16" s="326" t="s">
        <v>21</v>
      </c>
      <c r="E16" s="331">
        <v>100000</v>
      </c>
      <c r="F16" s="319">
        <f t="shared" ref="F16:G16" si="12">E16*1.1</f>
        <v>110000.00000000001</v>
      </c>
      <c r="G16" s="319">
        <f t="shared" si="12"/>
        <v>121000.00000000003</v>
      </c>
      <c r="H16" s="132"/>
    </row>
    <row r="17" spans="1:8" s="290" customFormat="1" outlineLevel="3">
      <c r="A17" s="324"/>
      <c r="B17" s="324"/>
      <c r="C17" s="325">
        <v>2210203</v>
      </c>
      <c r="D17" s="332" t="s">
        <v>22</v>
      </c>
      <c r="E17" s="331">
        <v>50000</v>
      </c>
      <c r="F17" s="319">
        <f t="shared" ref="F17:G17" si="13">E17*1.1</f>
        <v>55000.000000000007</v>
      </c>
      <c r="G17" s="319">
        <f t="shared" si="13"/>
        <v>60500.000000000015</v>
      </c>
      <c r="H17" s="132"/>
    </row>
    <row r="18" spans="1:8" s="290" customFormat="1" ht="30" outlineLevel="3">
      <c r="A18" s="328"/>
      <c r="B18" s="328"/>
      <c r="C18" s="329">
        <v>2210300</v>
      </c>
      <c r="D18" s="333" t="s">
        <v>23</v>
      </c>
      <c r="E18" s="323">
        <f>SUM(E19:E22)</f>
        <v>2670000</v>
      </c>
      <c r="F18" s="319">
        <f t="shared" ref="F18:G18" si="14">E18*1.1</f>
        <v>2937000.0000000005</v>
      </c>
      <c r="G18" s="319">
        <f t="shared" si="14"/>
        <v>3230700.0000000009</v>
      </c>
      <c r="H18" s="132"/>
    </row>
    <row r="19" spans="1:8" s="290" customFormat="1" outlineLevel="3">
      <c r="A19" s="324"/>
      <c r="B19" s="324"/>
      <c r="C19" s="325">
        <v>2210301</v>
      </c>
      <c r="D19" s="332" t="s">
        <v>24</v>
      </c>
      <c r="E19" s="331">
        <v>1120000</v>
      </c>
      <c r="F19" s="319">
        <f t="shared" ref="F19:G19" si="15">E19*1.1</f>
        <v>1232000</v>
      </c>
      <c r="G19" s="319">
        <f t="shared" si="15"/>
        <v>1355200</v>
      </c>
      <c r="H19" s="132"/>
    </row>
    <row r="20" spans="1:8" s="290" customFormat="1" outlineLevel="3">
      <c r="A20" s="324"/>
      <c r="B20" s="324"/>
      <c r="C20" s="325">
        <v>2210302</v>
      </c>
      <c r="D20" s="332" t="s">
        <v>25</v>
      </c>
      <c r="E20" s="331">
        <v>500000</v>
      </c>
      <c r="F20" s="319">
        <f t="shared" ref="F20:G20" si="16">E20*1.1</f>
        <v>550000</v>
      </c>
      <c r="G20" s="319">
        <f t="shared" si="16"/>
        <v>605000</v>
      </c>
      <c r="H20" s="132"/>
    </row>
    <row r="21" spans="1:8" s="290" customFormat="1" outlineLevel="3">
      <c r="A21" s="324"/>
      <c r="B21" s="324"/>
      <c r="C21" s="325">
        <v>2210303</v>
      </c>
      <c r="D21" s="332" t="s">
        <v>26</v>
      </c>
      <c r="E21" s="331">
        <v>550000</v>
      </c>
      <c r="F21" s="319">
        <f t="shared" ref="F21:G21" si="17">E21*1.1</f>
        <v>605000</v>
      </c>
      <c r="G21" s="319">
        <f t="shared" si="17"/>
        <v>665500</v>
      </c>
      <c r="H21" s="132"/>
    </row>
    <row r="22" spans="1:8" s="290" customFormat="1" outlineLevel="3">
      <c r="A22" s="324"/>
      <c r="B22" s="324"/>
      <c r="C22" s="325">
        <v>2210304</v>
      </c>
      <c r="D22" s="332" t="s">
        <v>27</v>
      </c>
      <c r="E22" s="331">
        <v>500000</v>
      </c>
      <c r="F22" s="319">
        <f t="shared" ref="F22:G22" si="18">E22*1.1</f>
        <v>550000</v>
      </c>
      <c r="G22" s="319">
        <f t="shared" si="18"/>
        <v>605000</v>
      </c>
      <c r="H22" s="132"/>
    </row>
    <row r="23" spans="1:8" s="290" customFormat="1" outlineLevel="3">
      <c r="A23" s="328"/>
      <c r="B23" s="328"/>
      <c r="C23" s="329">
        <v>2210400</v>
      </c>
      <c r="D23" s="333" t="s">
        <v>28</v>
      </c>
      <c r="E23" s="323">
        <f>SUM(E24:E26)</f>
        <v>1840000</v>
      </c>
      <c r="F23" s="319">
        <f t="shared" ref="F23:G23" si="19">E23*1.1</f>
        <v>2024000.0000000002</v>
      </c>
      <c r="G23" s="319">
        <f t="shared" si="19"/>
        <v>2226400.0000000005</v>
      </c>
      <c r="H23" s="132"/>
    </row>
    <row r="24" spans="1:8" s="290" customFormat="1" outlineLevel="3">
      <c r="A24" s="324"/>
      <c r="B24" s="324"/>
      <c r="C24" s="325">
        <v>2210401</v>
      </c>
      <c r="D24" s="332" t="s">
        <v>24</v>
      </c>
      <c r="E24" s="331">
        <v>780000</v>
      </c>
      <c r="F24" s="319">
        <f t="shared" ref="F24:G24" si="20">E24*1.1</f>
        <v>858000.00000000012</v>
      </c>
      <c r="G24" s="319">
        <f t="shared" si="20"/>
        <v>943800.00000000023</v>
      </c>
      <c r="H24" s="132"/>
    </row>
    <row r="25" spans="1:8" s="290" customFormat="1" outlineLevel="3">
      <c r="A25" s="324"/>
      <c r="B25" s="324"/>
      <c r="C25" s="325">
        <v>2210402</v>
      </c>
      <c r="D25" s="332" t="s">
        <v>29</v>
      </c>
      <c r="E25" s="331">
        <v>570000</v>
      </c>
      <c r="F25" s="319">
        <f t="shared" ref="F25:G25" si="21">E25*1.1</f>
        <v>627000</v>
      </c>
      <c r="G25" s="319">
        <f t="shared" si="21"/>
        <v>689700</v>
      </c>
      <c r="H25" s="132"/>
    </row>
    <row r="26" spans="1:8" s="290" customFormat="1" outlineLevel="3">
      <c r="A26" s="324"/>
      <c r="B26" s="324"/>
      <c r="C26" s="325">
        <v>2210404</v>
      </c>
      <c r="D26" s="332" t="s">
        <v>27</v>
      </c>
      <c r="E26" s="331">
        <v>490000</v>
      </c>
      <c r="F26" s="319">
        <f t="shared" ref="F26:G26" si="22">E26*1.1</f>
        <v>539000</v>
      </c>
      <c r="G26" s="319">
        <f t="shared" si="22"/>
        <v>592900</v>
      </c>
      <c r="H26" s="132"/>
    </row>
    <row r="27" spans="1:8" s="290" customFormat="1" outlineLevel="3">
      <c r="A27" s="328"/>
      <c r="B27" s="328"/>
      <c r="C27" s="329">
        <v>2210500</v>
      </c>
      <c r="D27" s="333" t="s">
        <v>30</v>
      </c>
      <c r="E27" s="323">
        <f>SUM(E28:E30)</f>
        <v>2270000</v>
      </c>
      <c r="F27" s="319">
        <f t="shared" ref="F27:G27" si="23">E27*1.1</f>
        <v>2497000</v>
      </c>
      <c r="G27" s="319">
        <f t="shared" si="23"/>
        <v>2746700</v>
      </c>
      <c r="H27" s="132"/>
    </row>
    <row r="28" spans="1:8" s="290" customFormat="1" outlineLevel="3">
      <c r="A28" s="324"/>
      <c r="B28" s="324"/>
      <c r="C28" s="325">
        <v>2210503</v>
      </c>
      <c r="D28" s="332" t="s">
        <v>31</v>
      </c>
      <c r="E28" s="331">
        <v>420000</v>
      </c>
      <c r="F28" s="319">
        <f t="shared" ref="F28:G28" si="24">E28*1.1</f>
        <v>462000.00000000006</v>
      </c>
      <c r="G28" s="319">
        <f t="shared" si="24"/>
        <v>508200.00000000012</v>
      </c>
      <c r="H28" s="132"/>
    </row>
    <row r="29" spans="1:8" s="290" customFormat="1" outlineLevel="3">
      <c r="A29" s="324"/>
      <c r="B29" s="324"/>
      <c r="C29" s="325">
        <v>2210504</v>
      </c>
      <c r="D29" s="332" t="s">
        <v>32</v>
      </c>
      <c r="E29" s="331">
        <v>1620000</v>
      </c>
      <c r="F29" s="319">
        <f t="shared" ref="F29:G29" si="25">E29*1.1</f>
        <v>1782000.0000000002</v>
      </c>
      <c r="G29" s="319">
        <f t="shared" si="25"/>
        <v>1960200.0000000005</v>
      </c>
      <c r="H29" s="132"/>
    </row>
    <row r="30" spans="1:8" s="290" customFormat="1" outlineLevel="3">
      <c r="A30" s="324"/>
      <c r="B30" s="324"/>
      <c r="C30" s="325">
        <v>2210599</v>
      </c>
      <c r="D30" s="332" t="s">
        <v>33</v>
      </c>
      <c r="E30" s="331">
        <v>230000</v>
      </c>
      <c r="F30" s="319">
        <f t="shared" ref="F30:G30" si="26">E30*1.1</f>
        <v>253000.00000000003</v>
      </c>
      <c r="G30" s="319">
        <f t="shared" si="26"/>
        <v>278300.00000000006</v>
      </c>
      <c r="H30" s="132"/>
    </row>
    <row r="31" spans="1:8" s="290" customFormat="1" outlineLevel="3">
      <c r="A31" s="328"/>
      <c r="B31" s="328"/>
      <c r="C31" s="329">
        <v>2210700</v>
      </c>
      <c r="D31" s="333" t="s">
        <v>34</v>
      </c>
      <c r="E31" s="323">
        <f>SUM(E32:E37)</f>
        <v>1701000</v>
      </c>
      <c r="F31" s="319">
        <f t="shared" ref="F31:G31" si="27">E31*1.1</f>
        <v>1871100.0000000002</v>
      </c>
      <c r="G31" s="319">
        <f t="shared" si="27"/>
        <v>2058210.0000000005</v>
      </c>
      <c r="H31" s="132"/>
    </row>
    <row r="32" spans="1:8" s="290" customFormat="1" outlineLevel="3">
      <c r="A32" s="324"/>
      <c r="B32" s="324"/>
      <c r="C32" s="325">
        <v>2210701</v>
      </c>
      <c r="D32" s="326" t="s">
        <v>35</v>
      </c>
      <c r="E32" s="331">
        <v>545000</v>
      </c>
      <c r="F32" s="319">
        <f t="shared" ref="F32:G32" si="28">E32*1.1</f>
        <v>599500</v>
      </c>
      <c r="G32" s="319">
        <f t="shared" si="28"/>
        <v>659450</v>
      </c>
      <c r="H32" s="132"/>
    </row>
    <row r="33" spans="1:8" s="290" customFormat="1" outlineLevel="3">
      <c r="A33" s="324"/>
      <c r="B33" s="324"/>
      <c r="C33" s="325">
        <v>2210702</v>
      </c>
      <c r="D33" s="326" t="s">
        <v>36</v>
      </c>
      <c r="E33" s="331">
        <v>200000</v>
      </c>
      <c r="F33" s="319">
        <f t="shared" ref="F33:G33" si="29">E33*1.1</f>
        <v>220000.00000000003</v>
      </c>
      <c r="G33" s="319">
        <f t="shared" si="29"/>
        <v>242000.00000000006</v>
      </c>
      <c r="H33" s="132"/>
    </row>
    <row r="34" spans="1:8" s="290" customFormat="1" outlineLevel="3">
      <c r="A34" s="324"/>
      <c r="B34" s="324"/>
      <c r="C34" s="325">
        <v>2210704</v>
      </c>
      <c r="D34" s="326" t="s">
        <v>37</v>
      </c>
      <c r="E34" s="331">
        <v>200000</v>
      </c>
      <c r="F34" s="319">
        <f t="shared" ref="F34:G34" si="30">E34*1.1</f>
        <v>220000.00000000003</v>
      </c>
      <c r="G34" s="319">
        <f t="shared" si="30"/>
        <v>242000.00000000006</v>
      </c>
      <c r="H34" s="132"/>
    </row>
    <row r="35" spans="1:8" s="290" customFormat="1" outlineLevel="3">
      <c r="A35" s="324"/>
      <c r="B35" s="324"/>
      <c r="C35" s="325">
        <v>2210710</v>
      </c>
      <c r="D35" s="326" t="s">
        <v>38</v>
      </c>
      <c r="E35" s="331">
        <v>200000</v>
      </c>
      <c r="F35" s="319">
        <f t="shared" ref="F35:G35" si="31">E35*1.1</f>
        <v>220000.00000000003</v>
      </c>
      <c r="G35" s="319">
        <f t="shared" si="31"/>
        <v>242000.00000000006</v>
      </c>
      <c r="H35" s="132"/>
    </row>
    <row r="36" spans="1:8" s="290" customFormat="1" outlineLevel="3">
      <c r="A36" s="324"/>
      <c r="B36" s="324"/>
      <c r="C36" s="325">
        <v>2210715</v>
      </c>
      <c r="D36" s="326" t="s">
        <v>39</v>
      </c>
      <c r="E36" s="331">
        <v>280000</v>
      </c>
      <c r="F36" s="319">
        <f t="shared" ref="F36:G36" si="32">E36*1.1</f>
        <v>308000</v>
      </c>
      <c r="G36" s="319">
        <f t="shared" si="32"/>
        <v>338800</v>
      </c>
      <c r="H36" s="132"/>
    </row>
    <row r="37" spans="1:8" s="290" customFormat="1" outlineLevel="3">
      <c r="A37" s="324"/>
      <c r="B37" s="324"/>
      <c r="C37" s="325">
        <v>2210799</v>
      </c>
      <c r="D37" s="326" t="s">
        <v>40</v>
      </c>
      <c r="E37" s="331">
        <v>276000</v>
      </c>
      <c r="F37" s="319">
        <f t="shared" ref="F37:G37" si="33">E37*1.1</f>
        <v>303600</v>
      </c>
      <c r="G37" s="319">
        <f t="shared" si="33"/>
        <v>333960</v>
      </c>
      <c r="H37" s="132"/>
    </row>
    <row r="38" spans="1:8" s="290" customFormat="1" outlineLevel="3">
      <c r="A38" s="328"/>
      <c r="B38" s="328"/>
      <c r="C38" s="329">
        <v>2210800</v>
      </c>
      <c r="D38" s="333" t="s">
        <v>41</v>
      </c>
      <c r="E38" s="323">
        <f>SUM(E39:E41)</f>
        <v>1940000</v>
      </c>
      <c r="F38" s="319">
        <f t="shared" ref="F38:G38" si="34">E38*1.1</f>
        <v>2134000</v>
      </c>
      <c r="G38" s="319">
        <f t="shared" si="34"/>
        <v>2347400</v>
      </c>
      <c r="H38" s="132"/>
    </row>
    <row r="39" spans="1:8" s="290" customFormat="1" ht="30" outlineLevel="3">
      <c r="A39" s="324"/>
      <c r="B39" s="324"/>
      <c r="C39" s="325">
        <v>2210801</v>
      </c>
      <c r="D39" s="332" t="s">
        <v>42</v>
      </c>
      <c r="E39" s="331">
        <v>580000</v>
      </c>
      <c r="F39" s="319">
        <f t="shared" ref="F39:G39" si="35">E39*1.1</f>
        <v>638000</v>
      </c>
      <c r="G39" s="319">
        <f t="shared" si="35"/>
        <v>701800</v>
      </c>
      <c r="H39" s="132"/>
    </row>
    <row r="40" spans="1:8" s="290" customFormat="1" outlineLevel="3">
      <c r="A40" s="324"/>
      <c r="B40" s="324"/>
      <c r="C40" s="325">
        <v>2210802</v>
      </c>
      <c r="D40" s="332" t="s">
        <v>43</v>
      </c>
      <c r="E40" s="331">
        <v>1200000</v>
      </c>
      <c r="F40" s="319">
        <f t="shared" ref="F40:G40" si="36">E40*1.1</f>
        <v>1320000</v>
      </c>
      <c r="G40" s="319">
        <f t="shared" si="36"/>
        <v>1452000.0000000002</v>
      </c>
      <c r="H40" s="132"/>
    </row>
    <row r="41" spans="1:8" s="290" customFormat="1" outlineLevel="3">
      <c r="A41" s="324"/>
      <c r="B41" s="324"/>
      <c r="C41" s="325">
        <v>2210899</v>
      </c>
      <c r="D41" s="332" t="s">
        <v>44</v>
      </c>
      <c r="E41" s="331">
        <v>160000</v>
      </c>
      <c r="F41" s="319">
        <f t="shared" ref="F41:G41" si="37">E41*1.1</f>
        <v>176000</v>
      </c>
      <c r="G41" s="319">
        <f t="shared" si="37"/>
        <v>193600.00000000003</v>
      </c>
      <c r="H41" s="132"/>
    </row>
    <row r="42" spans="1:8" s="290" customFormat="1" outlineLevel="3">
      <c r="A42" s="328"/>
      <c r="B42" s="328"/>
      <c r="C42" s="329">
        <v>2210900</v>
      </c>
      <c r="D42" s="333" t="s">
        <v>45</v>
      </c>
      <c r="E42" s="323">
        <f>SUM(E43:E45)</f>
        <v>380000000</v>
      </c>
      <c r="F42" s="319">
        <f t="shared" ref="F42:G42" si="38">E42*1.1</f>
        <v>418000000.00000006</v>
      </c>
      <c r="G42" s="319">
        <f t="shared" si="38"/>
        <v>459800000.00000012</v>
      </c>
      <c r="H42" s="132"/>
    </row>
    <row r="43" spans="1:8" s="290" customFormat="1" outlineLevel="3">
      <c r="A43" s="324"/>
      <c r="B43" s="324"/>
      <c r="C43" s="325">
        <v>2210904</v>
      </c>
      <c r="D43" s="332" t="s">
        <v>46</v>
      </c>
      <c r="E43" s="327">
        <v>40000000</v>
      </c>
      <c r="F43" s="319">
        <f t="shared" ref="F43:G43" si="39">E43*1.1</f>
        <v>44000000</v>
      </c>
      <c r="G43" s="319">
        <f t="shared" si="39"/>
        <v>48400000.000000007</v>
      </c>
      <c r="H43" s="132"/>
    </row>
    <row r="44" spans="1:8" s="290" customFormat="1" outlineLevel="3">
      <c r="A44" s="334"/>
      <c r="B44" s="334"/>
      <c r="C44" s="325">
        <v>2210910</v>
      </c>
      <c r="D44" s="332" t="s">
        <v>47</v>
      </c>
      <c r="E44" s="327">
        <v>310000000</v>
      </c>
      <c r="F44" s="319">
        <f t="shared" ref="F44:G44" si="40">E44*1.1</f>
        <v>341000000</v>
      </c>
      <c r="G44" s="319">
        <f t="shared" si="40"/>
        <v>375100000.00000006</v>
      </c>
      <c r="H44" s="132"/>
    </row>
    <row r="45" spans="1:8" s="290" customFormat="1" outlineLevel="3">
      <c r="A45" s="334"/>
      <c r="B45" s="334"/>
      <c r="C45" s="325">
        <v>2210999</v>
      </c>
      <c r="D45" s="332" t="s">
        <v>48</v>
      </c>
      <c r="E45" s="327">
        <v>30000000</v>
      </c>
      <c r="F45" s="319">
        <f t="shared" ref="F45:G45" si="41">E45*1.1</f>
        <v>33000000.000000004</v>
      </c>
      <c r="G45" s="319">
        <f t="shared" si="41"/>
        <v>36300000.000000007</v>
      </c>
      <c r="H45" s="132"/>
    </row>
    <row r="46" spans="1:8" s="290" customFormat="1" outlineLevel="3">
      <c r="A46" s="328"/>
      <c r="B46" s="328"/>
      <c r="C46" s="329">
        <v>2211100</v>
      </c>
      <c r="D46" s="333" t="s">
        <v>49</v>
      </c>
      <c r="E46" s="323">
        <f>SUM(E47:E49)</f>
        <v>2914200</v>
      </c>
      <c r="F46" s="319">
        <f t="shared" ref="F46:G46" si="42">E46*1.1</f>
        <v>3205620.0000000005</v>
      </c>
      <c r="G46" s="319">
        <f t="shared" si="42"/>
        <v>3526182.0000000009</v>
      </c>
      <c r="H46" s="132"/>
    </row>
    <row r="47" spans="1:8" s="290" customFormat="1" ht="30" outlineLevel="3">
      <c r="A47" s="324"/>
      <c r="B47" s="324"/>
      <c r="C47" s="325">
        <v>2211101</v>
      </c>
      <c r="D47" s="332" t="s">
        <v>50</v>
      </c>
      <c r="E47" s="331">
        <f>1250000</f>
        <v>1250000</v>
      </c>
      <c r="F47" s="319">
        <f t="shared" ref="F47:G47" si="43">E47*1.1</f>
        <v>1375000</v>
      </c>
      <c r="G47" s="319">
        <f t="shared" si="43"/>
        <v>1512500.0000000002</v>
      </c>
      <c r="H47" s="132"/>
    </row>
    <row r="48" spans="1:8" s="290" customFormat="1" outlineLevel="3">
      <c r="A48" s="328"/>
      <c r="B48" s="328"/>
      <c r="C48" s="325">
        <v>2211102</v>
      </c>
      <c r="D48" s="332" t="s">
        <v>51</v>
      </c>
      <c r="E48" s="331">
        <v>1200000</v>
      </c>
      <c r="F48" s="319">
        <f t="shared" ref="F48:G48" si="44">E48*1.1</f>
        <v>1320000</v>
      </c>
      <c r="G48" s="319">
        <f t="shared" si="44"/>
        <v>1452000.0000000002</v>
      </c>
      <c r="H48" s="132"/>
    </row>
    <row r="49" spans="1:8" s="290" customFormat="1" outlineLevel="3">
      <c r="A49" s="324"/>
      <c r="B49" s="324"/>
      <c r="C49" s="325">
        <v>2211103</v>
      </c>
      <c r="D49" s="332" t="s">
        <v>52</v>
      </c>
      <c r="E49" s="331">
        <f>150000+314200</f>
        <v>464200</v>
      </c>
      <c r="F49" s="319">
        <f t="shared" ref="F49:G49" si="45">E49*1.1</f>
        <v>510620.00000000006</v>
      </c>
      <c r="G49" s="319">
        <f t="shared" si="45"/>
        <v>561682.00000000012</v>
      </c>
      <c r="H49" s="132"/>
    </row>
    <row r="50" spans="1:8" s="290" customFormat="1" outlineLevel="3">
      <c r="A50" s="324"/>
      <c r="B50" s="324"/>
      <c r="C50" s="329">
        <v>2211200</v>
      </c>
      <c r="D50" s="333" t="s">
        <v>53</v>
      </c>
      <c r="E50" s="323">
        <f>SUM(E51)</f>
        <v>1560000</v>
      </c>
      <c r="F50" s="319">
        <f t="shared" ref="F50:G50" si="46">E50*1.1</f>
        <v>1716000.0000000002</v>
      </c>
      <c r="G50" s="319">
        <f t="shared" si="46"/>
        <v>1887600.0000000005</v>
      </c>
      <c r="H50" s="132"/>
    </row>
    <row r="51" spans="1:8" s="290" customFormat="1" outlineLevel="3">
      <c r="A51" s="324"/>
      <c r="B51" s="324"/>
      <c r="C51" s="325">
        <v>2211201</v>
      </c>
      <c r="D51" s="332" t="s">
        <v>54</v>
      </c>
      <c r="E51" s="331">
        <v>1560000</v>
      </c>
      <c r="F51" s="319">
        <f t="shared" ref="F51:G51" si="47">E51*1.1</f>
        <v>1716000.0000000002</v>
      </c>
      <c r="G51" s="319">
        <f t="shared" si="47"/>
        <v>1887600.0000000005</v>
      </c>
      <c r="H51" s="132"/>
    </row>
    <row r="52" spans="1:8" s="290" customFormat="1" outlineLevel="3">
      <c r="A52" s="328"/>
      <c r="B52" s="328"/>
      <c r="C52" s="329">
        <v>2211300</v>
      </c>
      <c r="D52" s="333" t="s">
        <v>55</v>
      </c>
      <c r="E52" s="323">
        <f>SUM(E53:E57)</f>
        <v>46121355</v>
      </c>
      <c r="F52" s="319">
        <f t="shared" ref="F52:G52" si="48">E52*1.1</f>
        <v>50733490.500000007</v>
      </c>
      <c r="G52" s="319">
        <f t="shared" si="48"/>
        <v>55806839.550000012</v>
      </c>
      <c r="H52" s="132"/>
    </row>
    <row r="53" spans="1:8" s="290" customFormat="1" outlineLevel="3">
      <c r="A53" s="324"/>
      <c r="B53" s="324"/>
      <c r="C53" s="325">
        <v>2211305</v>
      </c>
      <c r="D53" s="698" t="s">
        <v>56</v>
      </c>
      <c r="E53" s="331">
        <v>2000000</v>
      </c>
      <c r="F53" s="319">
        <f t="shared" ref="F53:G53" si="49">E53*1.1</f>
        <v>2200000</v>
      </c>
      <c r="G53" s="319">
        <f t="shared" si="49"/>
        <v>2420000</v>
      </c>
      <c r="H53" s="132"/>
    </row>
    <row r="54" spans="1:8" s="290" customFormat="1" ht="30" outlineLevel="3">
      <c r="A54" s="328"/>
      <c r="B54" s="328"/>
      <c r="C54" s="325">
        <v>2211306</v>
      </c>
      <c r="D54" s="698" t="s">
        <v>57</v>
      </c>
      <c r="E54" s="331">
        <v>190000</v>
      </c>
      <c r="F54" s="319">
        <f t="shared" ref="F54:G54" si="50">E54*1.1</f>
        <v>209000.00000000003</v>
      </c>
      <c r="G54" s="319">
        <f t="shared" si="50"/>
        <v>229900.00000000006</v>
      </c>
      <c r="H54" s="132"/>
    </row>
    <row r="55" spans="1:8" s="290" customFormat="1" outlineLevel="3">
      <c r="A55" s="334"/>
      <c r="B55" s="334"/>
      <c r="C55" s="325">
        <v>2211310</v>
      </c>
      <c r="D55" s="332" t="s">
        <v>58</v>
      </c>
      <c r="E55" s="331">
        <v>280000</v>
      </c>
      <c r="F55" s="319">
        <f t="shared" ref="F55:G55" si="51">E55*1.1</f>
        <v>308000</v>
      </c>
      <c r="G55" s="319">
        <f t="shared" si="51"/>
        <v>338800</v>
      </c>
      <c r="H55" s="132"/>
    </row>
    <row r="56" spans="1:8" s="290" customFormat="1" outlineLevel="3">
      <c r="A56" s="324"/>
      <c r="B56" s="324"/>
      <c r="C56" s="325">
        <v>2211320</v>
      </c>
      <c r="D56" s="332" t="s">
        <v>59</v>
      </c>
      <c r="E56" s="331">
        <v>200000</v>
      </c>
      <c r="F56" s="319">
        <f t="shared" ref="F56:G56" si="52">E56*1.1</f>
        <v>220000.00000000003</v>
      </c>
      <c r="G56" s="319">
        <f t="shared" si="52"/>
        <v>242000.00000000006</v>
      </c>
      <c r="H56" s="132"/>
    </row>
    <row r="57" spans="1:8" s="290" customFormat="1" outlineLevel="3">
      <c r="A57" s="324"/>
      <c r="B57" s="324"/>
      <c r="C57" s="325">
        <v>2211399</v>
      </c>
      <c r="D57" s="332" t="s">
        <v>60</v>
      </c>
      <c r="E57" s="331">
        <v>43451355</v>
      </c>
      <c r="F57" s="319">
        <f t="shared" ref="F57:G57" si="53">E57*1.1</f>
        <v>47796490.500000007</v>
      </c>
      <c r="G57" s="319">
        <f t="shared" si="53"/>
        <v>52576139.550000012</v>
      </c>
      <c r="H57" s="132"/>
    </row>
    <row r="58" spans="1:8" s="290" customFormat="1" ht="30" outlineLevel="3">
      <c r="A58" s="324"/>
      <c r="B58" s="324"/>
      <c r="C58" s="329">
        <v>2220100</v>
      </c>
      <c r="D58" s="333" t="s">
        <v>61</v>
      </c>
      <c r="E58" s="323">
        <f>SUM(E59:E61)</f>
        <v>1160000</v>
      </c>
      <c r="F58" s="319">
        <f t="shared" ref="F58:G58" si="54">E58*1.1</f>
        <v>1276000</v>
      </c>
      <c r="G58" s="319">
        <f t="shared" si="54"/>
        <v>1403600</v>
      </c>
      <c r="H58" s="132"/>
    </row>
    <row r="59" spans="1:8" s="290" customFormat="1" outlineLevel="3">
      <c r="A59" s="324"/>
      <c r="B59" s="324"/>
      <c r="C59" s="325">
        <v>2220101</v>
      </c>
      <c r="D59" s="326" t="s">
        <v>62</v>
      </c>
      <c r="E59" s="331">
        <v>560000</v>
      </c>
      <c r="F59" s="319">
        <f t="shared" ref="F59:G59" si="55">E59*1.1</f>
        <v>616000</v>
      </c>
      <c r="G59" s="319">
        <f t="shared" si="55"/>
        <v>677600</v>
      </c>
      <c r="H59" s="132"/>
    </row>
    <row r="60" spans="1:8" s="290" customFormat="1" outlineLevel="3">
      <c r="A60" s="324"/>
      <c r="B60" s="324"/>
      <c r="C60" s="325">
        <v>2220102</v>
      </c>
      <c r="D60" s="326" t="s">
        <v>63</v>
      </c>
      <c r="E60" s="331">
        <v>200000</v>
      </c>
      <c r="F60" s="319">
        <f t="shared" ref="F60:G60" si="56">E60*1.1</f>
        <v>220000.00000000003</v>
      </c>
      <c r="G60" s="319">
        <f t="shared" si="56"/>
        <v>242000.00000000006</v>
      </c>
      <c r="H60" s="132"/>
    </row>
    <row r="61" spans="1:8" s="290" customFormat="1" outlineLevel="3">
      <c r="A61" s="328"/>
      <c r="B61" s="328"/>
      <c r="C61" s="325">
        <v>2220105</v>
      </c>
      <c r="D61" s="326" t="s">
        <v>64</v>
      </c>
      <c r="E61" s="331">
        <f>400000</f>
        <v>400000</v>
      </c>
      <c r="F61" s="319">
        <f t="shared" ref="F61:G61" si="57">E61*1.1</f>
        <v>440000.00000000006</v>
      </c>
      <c r="G61" s="319">
        <f t="shared" si="57"/>
        <v>484000.00000000012</v>
      </c>
      <c r="H61" s="132"/>
    </row>
    <row r="62" spans="1:8" s="290" customFormat="1" outlineLevel="3">
      <c r="A62" s="324"/>
      <c r="B62" s="324"/>
      <c r="C62" s="329">
        <v>3111000</v>
      </c>
      <c r="D62" s="333" t="s">
        <v>65</v>
      </c>
      <c r="E62" s="323">
        <f>E63+E64</f>
        <v>480000</v>
      </c>
      <c r="F62" s="319">
        <f t="shared" ref="F62:G62" si="58">E62*1.1</f>
        <v>528000</v>
      </c>
      <c r="G62" s="319">
        <f t="shared" si="58"/>
        <v>580800</v>
      </c>
      <c r="H62" s="132"/>
    </row>
    <row r="63" spans="1:8" s="290" customFormat="1" outlineLevel="3">
      <c r="A63" s="324"/>
      <c r="B63" s="324"/>
      <c r="C63" s="325">
        <v>3111001</v>
      </c>
      <c r="D63" s="332" t="s">
        <v>66</v>
      </c>
      <c r="E63" s="331">
        <v>200000</v>
      </c>
      <c r="F63" s="319">
        <f t="shared" ref="F63:G63" si="59">E63*1.1</f>
        <v>220000.00000000003</v>
      </c>
      <c r="G63" s="319">
        <f t="shared" si="59"/>
        <v>242000.00000000006</v>
      </c>
      <c r="H63" s="132"/>
    </row>
    <row r="64" spans="1:8" s="290" customFormat="1" outlineLevel="3">
      <c r="A64" s="328"/>
      <c r="B64" s="328"/>
      <c r="C64" s="325">
        <v>3111002</v>
      </c>
      <c r="D64" s="332" t="s">
        <v>67</v>
      </c>
      <c r="E64" s="331">
        <v>280000</v>
      </c>
      <c r="F64" s="319">
        <f t="shared" ref="F64:G64" si="60">E64*1.1</f>
        <v>308000</v>
      </c>
      <c r="G64" s="319">
        <f t="shared" si="60"/>
        <v>338800</v>
      </c>
      <c r="H64" s="132"/>
    </row>
    <row r="65" spans="1:8" s="290" customFormat="1" ht="30" outlineLevel="3">
      <c r="A65" s="328"/>
      <c r="B65" s="328"/>
      <c r="C65" s="329">
        <v>3111400</v>
      </c>
      <c r="D65" s="333" t="s">
        <v>68</v>
      </c>
      <c r="E65" s="323">
        <f>SUM(E66:E66)</f>
        <v>22500000</v>
      </c>
      <c r="F65" s="319">
        <f t="shared" ref="F65:G65" si="61">E65*1.1</f>
        <v>24750000.000000004</v>
      </c>
      <c r="G65" s="319">
        <f t="shared" si="61"/>
        <v>27225000.000000007</v>
      </c>
      <c r="H65" s="132"/>
    </row>
    <row r="66" spans="1:8" s="290" customFormat="1" ht="30" outlineLevel="3">
      <c r="A66" s="324"/>
      <c r="B66" s="324"/>
      <c r="C66" s="325">
        <v>3111401</v>
      </c>
      <c r="D66" s="332" t="s">
        <v>69</v>
      </c>
      <c r="E66" s="327">
        <f>3/100*750000000</f>
        <v>22500000</v>
      </c>
      <c r="F66" s="319">
        <f t="shared" ref="F66:G66" si="62">E66*1.1</f>
        <v>24750000.000000004</v>
      </c>
      <c r="G66" s="319">
        <f t="shared" si="62"/>
        <v>27225000.000000007</v>
      </c>
      <c r="H66" s="132"/>
    </row>
    <row r="67" spans="1:8" s="290" customFormat="1" outlineLevel="2">
      <c r="A67" s="315"/>
      <c r="B67" s="315"/>
      <c r="C67" s="335"/>
      <c r="D67" s="336" t="s">
        <v>70</v>
      </c>
      <c r="E67" s="337">
        <f>E65+E62+E58+E52+E50+E46+E42+E38+E31+E27+E23+E18+E14+E11+E9+E7</f>
        <v>1057673722</v>
      </c>
      <c r="F67" s="319">
        <f t="shared" ref="F67:G67" si="63">E67*1.1</f>
        <v>1163441094.2</v>
      </c>
      <c r="G67" s="319">
        <f t="shared" si="63"/>
        <v>1279785203.6200001</v>
      </c>
      <c r="H67" s="132"/>
    </row>
    <row r="68" spans="1:8" s="290" customFormat="1" outlineLevel="2">
      <c r="A68" s="324"/>
      <c r="B68" s="324"/>
      <c r="C68" s="329"/>
      <c r="D68" s="333"/>
      <c r="E68" s="338"/>
      <c r="F68" s="319">
        <f t="shared" ref="F68:G68" si="64">E68*1.1</f>
        <v>0</v>
      </c>
      <c r="G68" s="319">
        <f t="shared" si="64"/>
        <v>0</v>
      </c>
      <c r="H68" s="132"/>
    </row>
    <row r="69" spans="1:8" s="290" customFormat="1" outlineLevel="2">
      <c r="A69" s="328"/>
      <c r="B69" s="328"/>
      <c r="C69" s="329" t="s">
        <v>71</v>
      </c>
      <c r="D69" s="333"/>
      <c r="E69" s="338"/>
      <c r="F69" s="319">
        <f t="shared" ref="F69:G69" si="65">E69*1.1</f>
        <v>0</v>
      </c>
      <c r="G69" s="319">
        <f t="shared" si="65"/>
        <v>0</v>
      </c>
      <c r="H69" s="132"/>
    </row>
    <row r="70" spans="1:8" s="290" customFormat="1" outlineLevel="3">
      <c r="A70" s="328"/>
      <c r="B70" s="328"/>
      <c r="C70" s="329">
        <v>3110200</v>
      </c>
      <c r="D70" s="333" t="s">
        <v>72</v>
      </c>
      <c r="E70" s="323">
        <f>E71+E72</f>
        <v>27000000</v>
      </c>
      <c r="F70" s="319">
        <f t="shared" ref="F70:G70" si="66">E70*1.1</f>
        <v>29700000.000000004</v>
      </c>
      <c r="G70" s="319">
        <f t="shared" si="66"/>
        <v>32670000.000000007</v>
      </c>
      <c r="H70" s="132"/>
    </row>
    <row r="71" spans="1:8" s="290" customFormat="1" ht="30" outlineLevel="3">
      <c r="A71" s="328"/>
      <c r="B71" s="328"/>
      <c r="C71" s="325">
        <v>3110202</v>
      </c>
      <c r="D71" s="339" t="s">
        <v>73</v>
      </c>
      <c r="E71" s="327">
        <v>7000000</v>
      </c>
      <c r="F71" s="319">
        <f t="shared" ref="F71:G71" si="67">E71*1.1</f>
        <v>7700000.0000000009</v>
      </c>
      <c r="G71" s="319">
        <f t="shared" si="67"/>
        <v>8470000.0000000019</v>
      </c>
      <c r="H71" s="132"/>
    </row>
    <row r="72" spans="1:8" s="290" customFormat="1" outlineLevel="3">
      <c r="A72" s="328"/>
      <c r="B72" s="328"/>
      <c r="C72" s="325">
        <v>3110202</v>
      </c>
      <c r="D72" s="339" t="s">
        <v>74</v>
      </c>
      <c r="E72" s="327">
        <f>20000000</f>
        <v>20000000</v>
      </c>
      <c r="F72" s="319">
        <f t="shared" ref="F72:G72" si="68">E72*1.1</f>
        <v>22000000</v>
      </c>
      <c r="G72" s="319">
        <f t="shared" si="68"/>
        <v>24200000.000000004</v>
      </c>
      <c r="H72" s="132"/>
    </row>
    <row r="73" spans="1:8" s="290" customFormat="1" outlineLevel="3">
      <c r="A73" s="328"/>
      <c r="B73" s="328"/>
      <c r="C73" s="329">
        <v>3110500</v>
      </c>
      <c r="D73" s="333" t="s">
        <v>75</v>
      </c>
      <c r="E73" s="323">
        <f>SUM(E74:E76)</f>
        <v>872500000</v>
      </c>
      <c r="F73" s="319">
        <f t="shared" ref="F73:G73" si="69">E73*1.1</f>
        <v>959750000.00000012</v>
      </c>
      <c r="G73" s="319">
        <f t="shared" si="69"/>
        <v>1055725000.0000002</v>
      </c>
      <c r="H73" s="132"/>
    </row>
    <row r="74" spans="1:8" s="290" customFormat="1" outlineLevel="3">
      <c r="A74" s="328"/>
      <c r="B74" s="328"/>
      <c r="C74" s="325">
        <v>3110504</v>
      </c>
      <c r="D74" s="332" t="s">
        <v>76</v>
      </c>
      <c r="E74" s="327">
        <f>750000000*72/100</f>
        <v>540000000</v>
      </c>
      <c r="F74" s="319">
        <f t="shared" ref="F74:G74" si="70">E74*1.1</f>
        <v>594000000</v>
      </c>
      <c r="G74" s="319">
        <f t="shared" si="70"/>
        <v>653400000</v>
      </c>
      <c r="H74" s="132"/>
    </row>
    <row r="75" spans="1:8" s="290" customFormat="1" outlineLevel="3">
      <c r="A75" s="324"/>
      <c r="B75" s="324"/>
      <c r="C75" s="325">
        <v>3110504</v>
      </c>
      <c r="D75" s="332" t="s">
        <v>77</v>
      </c>
      <c r="E75" s="327">
        <f>0.25*750000000</f>
        <v>187500000</v>
      </c>
      <c r="F75" s="319">
        <f t="shared" ref="F75:G75" si="71">E75*1.1</f>
        <v>206250000.00000003</v>
      </c>
      <c r="G75" s="319">
        <f t="shared" si="71"/>
        <v>226875000.00000006</v>
      </c>
      <c r="H75" s="132"/>
    </row>
    <row r="76" spans="1:8" s="290" customFormat="1" ht="45" outlineLevel="3">
      <c r="A76" s="324"/>
      <c r="B76" s="324"/>
      <c r="C76" s="325">
        <v>3110599</v>
      </c>
      <c r="D76" s="340" t="s">
        <v>78</v>
      </c>
      <c r="E76" s="327">
        <v>145000000</v>
      </c>
      <c r="F76" s="319">
        <f t="shared" ref="F76:G76" si="72">E76*1.1</f>
        <v>159500000</v>
      </c>
      <c r="G76" s="319">
        <f t="shared" si="72"/>
        <v>175450000</v>
      </c>
      <c r="H76" s="132"/>
    </row>
    <row r="77" spans="1:8" s="290" customFormat="1" outlineLevel="2">
      <c r="A77" s="315"/>
      <c r="B77" s="315"/>
      <c r="C77" s="316"/>
      <c r="D77" s="336" t="s">
        <v>79</v>
      </c>
      <c r="E77" s="337">
        <f>E70+E73</f>
        <v>899500000</v>
      </c>
      <c r="F77" s="319">
        <f t="shared" ref="F77:G77" si="73">E77*1.1</f>
        <v>989450000.00000012</v>
      </c>
      <c r="G77" s="319">
        <f t="shared" si="73"/>
        <v>1088395000.0000002</v>
      </c>
      <c r="H77" s="132"/>
    </row>
    <row r="78" spans="1:8" s="290" customFormat="1" outlineLevel="1">
      <c r="A78" s="315"/>
      <c r="B78" s="315"/>
      <c r="C78" s="341"/>
      <c r="D78" s="336" t="s">
        <v>80</v>
      </c>
      <c r="E78" s="337">
        <f>E67+E77</f>
        <v>1957173722</v>
      </c>
      <c r="F78" s="319">
        <f t="shared" ref="F78:G78" si="74">E78*1.1</f>
        <v>2152891094.2000003</v>
      </c>
      <c r="G78" s="319">
        <f t="shared" si="74"/>
        <v>2368180203.6200004</v>
      </c>
      <c r="H78" s="132"/>
    </row>
    <row r="79" spans="1:8" s="290" customFormat="1" outlineLevel="1">
      <c r="A79" s="315"/>
      <c r="B79" s="315"/>
      <c r="C79" s="316"/>
      <c r="D79" s="336"/>
      <c r="E79" s="337"/>
      <c r="F79" s="319">
        <f t="shared" ref="F79:G79" si="75">E79*1.1</f>
        <v>0</v>
      </c>
      <c r="G79" s="319">
        <f t="shared" si="75"/>
        <v>0</v>
      </c>
      <c r="H79" s="132"/>
    </row>
    <row r="80" spans="1:8" s="290" customFormat="1" outlineLevel="1">
      <c r="A80" s="315"/>
      <c r="B80" s="315">
        <v>1</v>
      </c>
      <c r="C80" s="316" t="s">
        <v>81</v>
      </c>
      <c r="D80" s="336"/>
      <c r="E80" s="338"/>
      <c r="F80" s="319">
        <f t="shared" ref="F80:G80" si="76">E80*1.1</f>
        <v>0</v>
      </c>
      <c r="G80" s="319">
        <f t="shared" si="76"/>
        <v>0</v>
      </c>
      <c r="H80" s="132"/>
    </row>
    <row r="81" spans="1:8" s="290" customFormat="1" outlineLevel="1">
      <c r="A81" s="315"/>
      <c r="B81" s="315"/>
      <c r="C81" s="316" t="s">
        <v>82</v>
      </c>
      <c r="D81" s="336"/>
      <c r="E81" s="337"/>
      <c r="F81" s="319">
        <f t="shared" ref="F81:G81" si="77">E81*1.1</f>
        <v>0</v>
      </c>
      <c r="G81" s="319">
        <f t="shared" si="77"/>
        <v>0</v>
      </c>
      <c r="H81" s="132"/>
    </row>
    <row r="82" spans="1:8" s="290" customFormat="1" outlineLevel="2">
      <c r="A82" s="315"/>
      <c r="B82" s="315"/>
      <c r="C82" s="342">
        <v>2210100</v>
      </c>
      <c r="D82" s="343" t="s">
        <v>16</v>
      </c>
      <c r="E82" s="344">
        <f>SUM(E83:E84)</f>
        <v>600000</v>
      </c>
      <c r="F82" s="319">
        <f t="shared" ref="F82:G82" si="78">E82*1.1</f>
        <v>660000</v>
      </c>
      <c r="G82" s="319">
        <f t="shared" si="78"/>
        <v>726000.00000000012</v>
      </c>
      <c r="H82" s="132"/>
    </row>
    <row r="83" spans="1:8" s="290" customFormat="1" outlineLevel="2">
      <c r="A83" s="315"/>
      <c r="B83" s="315"/>
      <c r="C83" s="345">
        <v>2210101</v>
      </c>
      <c r="D83" s="346" t="s">
        <v>17</v>
      </c>
      <c r="E83" s="347">
        <v>300000</v>
      </c>
      <c r="F83" s="319">
        <f t="shared" ref="F83:G83" si="79">E83*1.1</f>
        <v>330000</v>
      </c>
      <c r="G83" s="319">
        <f t="shared" si="79"/>
        <v>363000.00000000006</v>
      </c>
      <c r="H83" s="132"/>
    </row>
    <row r="84" spans="1:8" s="290" customFormat="1" outlineLevel="2">
      <c r="A84" s="315"/>
      <c r="B84" s="315"/>
      <c r="C84" s="345">
        <v>2210102</v>
      </c>
      <c r="D84" s="346" t="s">
        <v>18</v>
      </c>
      <c r="E84" s="347">
        <v>300000</v>
      </c>
      <c r="F84" s="319">
        <f t="shared" ref="F84:G84" si="80">E84*1.1</f>
        <v>330000</v>
      </c>
      <c r="G84" s="319">
        <f t="shared" si="80"/>
        <v>363000.00000000006</v>
      </c>
      <c r="H84" s="132"/>
    </row>
    <row r="85" spans="1:8" s="290" customFormat="1" outlineLevel="2">
      <c r="A85" s="315"/>
      <c r="B85" s="315"/>
      <c r="C85" s="321">
        <v>2210200</v>
      </c>
      <c r="D85" s="348" t="s">
        <v>19</v>
      </c>
      <c r="E85" s="344">
        <f>SUM(E86:E87)</f>
        <v>220000</v>
      </c>
      <c r="F85" s="319">
        <f t="shared" ref="F85:G85" si="81">E85*1.1</f>
        <v>242000.00000000003</v>
      </c>
      <c r="G85" s="319">
        <f t="shared" si="81"/>
        <v>266200.00000000006</v>
      </c>
      <c r="H85" s="132"/>
    </row>
    <row r="86" spans="1:8" s="290" customFormat="1" outlineLevel="2">
      <c r="A86" s="315"/>
      <c r="B86" s="315"/>
      <c r="C86" s="349">
        <v>2210201</v>
      </c>
      <c r="D86" s="350" t="s">
        <v>20</v>
      </c>
      <c r="E86" s="347">
        <v>120000</v>
      </c>
      <c r="F86" s="319">
        <f t="shared" ref="F86:G86" si="82">E86*1.1</f>
        <v>132000</v>
      </c>
      <c r="G86" s="319">
        <f t="shared" si="82"/>
        <v>145200</v>
      </c>
      <c r="H86" s="132"/>
    </row>
    <row r="87" spans="1:8" s="290" customFormat="1" outlineLevel="2">
      <c r="A87" s="315"/>
      <c r="B87" s="315"/>
      <c r="C87" s="349">
        <v>2210202</v>
      </c>
      <c r="D87" s="350" t="s">
        <v>21</v>
      </c>
      <c r="E87" s="347">
        <v>100000</v>
      </c>
      <c r="F87" s="319">
        <f t="shared" ref="F87:G87" si="83">E87*1.1</f>
        <v>110000.00000000001</v>
      </c>
      <c r="G87" s="319">
        <f t="shared" si="83"/>
        <v>121000.00000000003</v>
      </c>
      <c r="H87" s="132"/>
    </row>
    <row r="88" spans="1:8" s="290" customFormat="1" ht="30" outlineLevel="2">
      <c r="A88" s="315"/>
      <c r="B88" s="315"/>
      <c r="C88" s="321">
        <v>2210300</v>
      </c>
      <c r="D88" s="348" t="s">
        <v>23</v>
      </c>
      <c r="E88" s="344">
        <f>SUM(E89:E91)</f>
        <v>2250000</v>
      </c>
      <c r="F88" s="319">
        <f t="shared" ref="F88:G88" si="84">E88*1.1</f>
        <v>2475000</v>
      </c>
      <c r="G88" s="319">
        <f t="shared" si="84"/>
        <v>2722500</v>
      </c>
      <c r="H88" s="132"/>
    </row>
    <row r="89" spans="1:8" s="290" customFormat="1" outlineLevel="2">
      <c r="A89" s="315"/>
      <c r="B89" s="315"/>
      <c r="C89" s="349">
        <v>2210301</v>
      </c>
      <c r="D89" s="350" t="s">
        <v>24</v>
      </c>
      <c r="E89" s="347">
        <v>800000</v>
      </c>
      <c r="F89" s="319">
        <f t="shared" ref="F89:G89" si="85">E89*1.1</f>
        <v>880000.00000000012</v>
      </c>
      <c r="G89" s="319">
        <f t="shared" si="85"/>
        <v>968000.00000000023</v>
      </c>
      <c r="H89" s="132"/>
    </row>
    <row r="90" spans="1:8" s="290" customFormat="1" outlineLevel="2">
      <c r="A90" s="315"/>
      <c r="B90" s="315"/>
      <c r="C90" s="349">
        <v>2210302</v>
      </c>
      <c r="D90" s="350" t="s">
        <v>25</v>
      </c>
      <c r="E90" s="347">
        <v>700000</v>
      </c>
      <c r="F90" s="319">
        <f t="shared" ref="F90:G90" si="86">E90*1.1</f>
        <v>770000.00000000012</v>
      </c>
      <c r="G90" s="319">
        <f t="shared" si="86"/>
        <v>847000.00000000023</v>
      </c>
      <c r="H90" s="132"/>
    </row>
    <row r="91" spans="1:8" s="290" customFormat="1" outlineLevel="2">
      <c r="A91" s="315"/>
      <c r="B91" s="315"/>
      <c r="C91" s="349">
        <v>2210303</v>
      </c>
      <c r="D91" s="350" t="s">
        <v>26</v>
      </c>
      <c r="E91" s="347">
        <f>1000000-250000</f>
        <v>750000</v>
      </c>
      <c r="F91" s="319">
        <f t="shared" ref="F91:G91" si="87">E91*1.1</f>
        <v>825000.00000000012</v>
      </c>
      <c r="G91" s="319">
        <f t="shared" si="87"/>
        <v>907500.00000000023</v>
      </c>
      <c r="H91" s="132"/>
    </row>
    <row r="92" spans="1:8" s="290" customFormat="1" outlineLevel="2">
      <c r="A92" s="315"/>
      <c r="B92" s="315"/>
      <c r="C92" s="321">
        <v>2210500</v>
      </c>
      <c r="D92" s="348" t="s">
        <v>30</v>
      </c>
      <c r="E92" s="344">
        <f>E93</f>
        <v>200000</v>
      </c>
      <c r="F92" s="319">
        <f t="shared" ref="F92:G92" si="88">E92*1.1</f>
        <v>220000.00000000003</v>
      </c>
      <c r="G92" s="319">
        <f t="shared" si="88"/>
        <v>242000.00000000006</v>
      </c>
      <c r="H92" s="132"/>
    </row>
    <row r="93" spans="1:8" s="290" customFormat="1" outlineLevel="2">
      <c r="A93" s="315"/>
      <c r="B93" s="315"/>
      <c r="C93" s="349">
        <v>2210503</v>
      </c>
      <c r="D93" s="350" t="s">
        <v>31</v>
      </c>
      <c r="E93" s="347">
        <v>200000</v>
      </c>
      <c r="F93" s="319">
        <f t="shared" ref="F93:G93" si="89">E93*1.1</f>
        <v>220000.00000000003</v>
      </c>
      <c r="G93" s="319">
        <f t="shared" si="89"/>
        <v>242000.00000000006</v>
      </c>
      <c r="H93" s="132"/>
    </row>
    <row r="94" spans="1:8" s="290" customFormat="1" outlineLevel="2">
      <c r="A94" s="315"/>
      <c r="B94" s="315"/>
      <c r="C94" s="321">
        <v>2210700</v>
      </c>
      <c r="D94" s="348" t="s">
        <v>34</v>
      </c>
      <c r="E94" s="344">
        <f>SUM(E95:E100)</f>
        <v>1370000</v>
      </c>
      <c r="F94" s="319">
        <f t="shared" ref="F94:G94" si="90">E94*1.1</f>
        <v>1507000.0000000002</v>
      </c>
      <c r="G94" s="319">
        <f t="shared" si="90"/>
        <v>1657700.0000000005</v>
      </c>
      <c r="H94" s="132"/>
    </row>
    <row r="95" spans="1:8" s="290" customFormat="1" outlineLevel="2">
      <c r="A95" s="315"/>
      <c r="B95" s="315"/>
      <c r="C95" s="349">
        <v>2210701</v>
      </c>
      <c r="D95" s="350" t="s">
        <v>35</v>
      </c>
      <c r="E95" s="347">
        <v>250000</v>
      </c>
      <c r="F95" s="319">
        <f t="shared" ref="F95:G95" si="91">E95*1.1</f>
        <v>275000</v>
      </c>
      <c r="G95" s="319">
        <f t="shared" si="91"/>
        <v>302500</v>
      </c>
      <c r="H95" s="132"/>
    </row>
    <row r="96" spans="1:8" s="290" customFormat="1" outlineLevel="2">
      <c r="A96" s="315"/>
      <c r="B96" s="315"/>
      <c r="C96" s="349">
        <v>2210702</v>
      </c>
      <c r="D96" s="350" t="s">
        <v>83</v>
      </c>
      <c r="E96" s="347">
        <v>500000</v>
      </c>
      <c r="F96" s="319">
        <f t="shared" ref="F96:G96" si="92">E96*1.1</f>
        <v>550000</v>
      </c>
      <c r="G96" s="319">
        <f t="shared" si="92"/>
        <v>605000</v>
      </c>
      <c r="H96" s="132"/>
    </row>
    <row r="97" spans="1:8" s="290" customFormat="1" outlineLevel="2">
      <c r="A97" s="315"/>
      <c r="B97" s="315"/>
      <c r="C97" s="349">
        <v>2210704</v>
      </c>
      <c r="D97" s="350" t="s">
        <v>37</v>
      </c>
      <c r="E97" s="347">
        <v>150000</v>
      </c>
      <c r="F97" s="319">
        <f t="shared" ref="F97:G97" si="93">E97*1.1</f>
        <v>165000</v>
      </c>
      <c r="G97" s="319">
        <f t="shared" si="93"/>
        <v>181500.00000000003</v>
      </c>
      <c r="H97" s="132"/>
    </row>
    <row r="98" spans="1:8" s="290" customFormat="1" outlineLevel="2">
      <c r="A98" s="315"/>
      <c r="B98" s="315"/>
      <c r="C98" s="349">
        <v>2210710</v>
      </c>
      <c r="D98" s="350" t="s">
        <v>38</v>
      </c>
      <c r="E98" s="347">
        <v>270000</v>
      </c>
      <c r="F98" s="319">
        <f t="shared" ref="F98:G98" si="94">E98*1.1</f>
        <v>297000</v>
      </c>
      <c r="G98" s="319">
        <f t="shared" si="94"/>
        <v>326700</v>
      </c>
      <c r="H98" s="132"/>
    </row>
    <row r="99" spans="1:8" s="290" customFormat="1" outlineLevel="2">
      <c r="A99" s="315"/>
      <c r="B99" s="315"/>
      <c r="C99" s="349">
        <v>2210715</v>
      </c>
      <c r="D99" s="350" t="s">
        <v>39</v>
      </c>
      <c r="E99" s="347">
        <v>200000</v>
      </c>
      <c r="F99" s="319">
        <f t="shared" ref="F99:G99" si="95">E99*1.1</f>
        <v>220000.00000000003</v>
      </c>
      <c r="G99" s="319">
        <f t="shared" si="95"/>
        <v>242000.00000000006</v>
      </c>
      <c r="H99" s="132"/>
    </row>
    <row r="100" spans="1:8" s="290" customFormat="1" outlineLevel="2">
      <c r="A100" s="315"/>
      <c r="B100" s="315"/>
      <c r="C100" s="349">
        <v>2210799</v>
      </c>
      <c r="D100" s="350" t="s">
        <v>84</v>
      </c>
      <c r="E100" s="347">
        <v>0</v>
      </c>
      <c r="F100" s="319">
        <f t="shared" ref="F100:G100" si="96">E100*1.1</f>
        <v>0</v>
      </c>
      <c r="G100" s="319">
        <f t="shared" si="96"/>
        <v>0</v>
      </c>
      <c r="H100" s="132"/>
    </row>
    <row r="101" spans="1:8" s="290" customFormat="1" outlineLevel="2">
      <c r="A101" s="315"/>
      <c r="B101" s="315"/>
      <c r="C101" s="321">
        <v>2210800</v>
      </c>
      <c r="D101" s="348" t="s">
        <v>41</v>
      </c>
      <c r="E101" s="344">
        <f>SUM(E102:E103)</f>
        <v>1000000</v>
      </c>
      <c r="F101" s="319">
        <f t="shared" ref="F101:G101" si="97">E101*1.1</f>
        <v>1100000</v>
      </c>
      <c r="G101" s="319">
        <f t="shared" si="97"/>
        <v>1210000</v>
      </c>
      <c r="H101" s="132"/>
    </row>
    <row r="102" spans="1:8" s="290" customFormat="1" ht="30" outlineLevel="2">
      <c r="A102" s="315"/>
      <c r="B102" s="315"/>
      <c r="C102" s="349">
        <v>2210801</v>
      </c>
      <c r="D102" s="350" t="s">
        <v>85</v>
      </c>
      <c r="E102" s="347">
        <v>500000</v>
      </c>
      <c r="F102" s="319">
        <f t="shared" ref="F102:G102" si="98">E102*1.1</f>
        <v>550000</v>
      </c>
      <c r="G102" s="319">
        <f t="shared" si="98"/>
        <v>605000</v>
      </c>
      <c r="H102" s="132"/>
    </row>
    <row r="103" spans="1:8" s="290" customFormat="1" outlineLevel="2">
      <c r="A103" s="315"/>
      <c r="B103" s="315"/>
      <c r="C103" s="349">
        <v>2210802</v>
      </c>
      <c r="D103" s="350" t="s">
        <v>86</v>
      </c>
      <c r="E103" s="347">
        <v>500000</v>
      </c>
      <c r="F103" s="319">
        <f t="shared" ref="F103:G103" si="99">E103*1.1</f>
        <v>550000</v>
      </c>
      <c r="G103" s="319">
        <f t="shared" si="99"/>
        <v>605000</v>
      </c>
      <c r="H103" s="132"/>
    </row>
    <row r="104" spans="1:8" s="290" customFormat="1" outlineLevel="2">
      <c r="A104" s="315"/>
      <c r="B104" s="315"/>
      <c r="C104" s="321">
        <v>2211100</v>
      </c>
      <c r="D104" s="348" t="s">
        <v>49</v>
      </c>
      <c r="E104" s="344">
        <f>SUM(E105:E107)</f>
        <v>1580000</v>
      </c>
      <c r="F104" s="319">
        <f t="shared" ref="F104:G104" si="100">E104*1.1</f>
        <v>1738000.0000000002</v>
      </c>
      <c r="G104" s="319">
        <f t="shared" si="100"/>
        <v>1911800.0000000005</v>
      </c>
      <c r="H104" s="132"/>
    </row>
    <row r="105" spans="1:8" s="290" customFormat="1" ht="30" outlineLevel="2">
      <c r="A105" s="315"/>
      <c r="B105" s="315"/>
      <c r="C105" s="349">
        <v>2211101</v>
      </c>
      <c r="D105" s="350" t="s">
        <v>87</v>
      </c>
      <c r="E105" s="347">
        <v>700000</v>
      </c>
      <c r="F105" s="319">
        <f t="shared" ref="F105:G105" si="101">E105*1.1</f>
        <v>770000.00000000012</v>
      </c>
      <c r="G105" s="319">
        <f t="shared" si="101"/>
        <v>847000.00000000023</v>
      </c>
      <c r="H105" s="132"/>
    </row>
    <row r="106" spans="1:8" s="290" customFormat="1" outlineLevel="2">
      <c r="A106" s="315"/>
      <c r="B106" s="315"/>
      <c r="C106" s="349">
        <v>2211102</v>
      </c>
      <c r="D106" s="350" t="s">
        <v>51</v>
      </c>
      <c r="E106" s="347">
        <v>300000</v>
      </c>
      <c r="F106" s="319">
        <f t="shared" ref="F106:G106" si="102">E106*1.1</f>
        <v>330000</v>
      </c>
      <c r="G106" s="319">
        <f t="shared" si="102"/>
        <v>363000.00000000006</v>
      </c>
      <c r="H106" s="132"/>
    </row>
    <row r="107" spans="1:8" s="290" customFormat="1" outlineLevel="2">
      <c r="A107" s="315"/>
      <c r="B107" s="315"/>
      <c r="C107" s="349">
        <v>2211103</v>
      </c>
      <c r="D107" s="350" t="s">
        <v>52</v>
      </c>
      <c r="E107" s="347">
        <f>900000-320000</f>
        <v>580000</v>
      </c>
      <c r="F107" s="319">
        <f t="shared" ref="F107:G107" si="103">E107*1.1</f>
        <v>638000</v>
      </c>
      <c r="G107" s="319">
        <f t="shared" si="103"/>
        <v>701800</v>
      </c>
      <c r="H107" s="132"/>
    </row>
    <row r="108" spans="1:8" s="290" customFormat="1" outlineLevel="2">
      <c r="A108" s="315"/>
      <c r="B108" s="315"/>
      <c r="C108" s="329">
        <v>2211000</v>
      </c>
      <c r="D108" s="333" t="s">
        <v>88</v>
      </c>
      <c r="E108" s="323">
        <f>SUM(E109:E110)</f>
        <v>2300000</v>
      </c>
      <c r="F108" s="319">
        <f t="shared" ref="F108:G108" si="104">E108*1.1</f>
        <v>2530000</v>
      </c>
      <c r="G108" s="319">
        <f t="shared" si="104"/>
        <v>2783000</v>
      </c>
      <c r="H108" s="132"/>
    </row>
    <row r="109" spans="1:8" s="290" customFormat="1" outlineLevel="2">
      <c r="A109" s="315"/>
      <c r="B109" s="315"/>
      <c r="C109" s="325">
        <v>2211016</v>
      </c>
      <c r="D109" s="332" t="s">
        <v>89</v>
      </c>
      <c r="E109" s="331">
        <v>1800000</v>
      </c>
      <c r="F109" s="319">
        <f t="shared" ref="F109:G109" si="105">E109*1.1</f>
        <v>1980000.0000000002</v>
      </c>
      <c r="G109" s="319">
        <f t="shared" si="105"/>
        <v>2178000.0000000005</v>
      </c>
      <c r="H109" s="132"/>
    </row>
    <row r="110" spans="1:8" s="290" customFormat="1" outlineLevel="2">
      <c r="A110" s="315"/>
      <c r="B110" s="315"/>
      <c r="C110" s="325">
        <v>2211031</v>
      </c>
      <c r="D110" s="698" t="s">
        <v>90</v>
      </c>
      <c r="E110" s="331">
        <v>500000</v>
      </c>
      <c r="F110" s="319">
        <f t="shared" ref="F110:G110" si="106">E110*1.1</f>
        <v>550000</v>
      </c>
      <c r="G110" s="319">
        <f t="shared" si="106"/>
        <v>605000</v>
      </c>
      <c r="H110" s="132"/>
    </row>
    <row r="111" spans="1:8" s="290" customFormat="1" outlineLevel="2">
      <c r="A111" s="315"/>
      <c r="B111" s="315"/>
      <c r="C111" s="321">
        <v>2211200</v>
      </c>
      <c r="D111" s="348" t="s">
        <v>53</v>
      </c>
      <c r="E111" s="344">
        <f>E112</f>
        <v>500000</v>
      </c>
      <c r="F111" s="319">
        <f t="shared" ref="F111:G111" si="107">E111*1.1</f>
        <v>550000</v>
      </c>
      <c r="G111" s="319">
        <f t="shared" si="107"/>
        <v>605000</v>
      </c>
      <c r="H111" s="132"/>
    </row>
    <row r="112" spans="1:8" s="290" customFormat="1" outlineLevel="2">
      <c r="A112" s="315"/>
      <c r="B112" s="315"/>
      <c r="C112" s="349">
        <v>2211201</v>
      </c>
      <c r="D112" s="350" t="s">
        <v>91</v>
      </c>
      <c r="E112" s="347">
        <v>500000</v>
      </c>
      <c r="F112" s="319">
        <f t="shared" ref="F112:G112" si="108">E112*1.1</f>
        <v>550000</v>
      </c>
      <c r="G112" s="319">
        <f t="shared" si="108"/>
        <v>605000</v>
      </c>
      <c r="H112" s="132"/>
    </row>
    <row r="113" spans="1:8" s="290" customFormat="1" ht="30" outlineLevel="2">
      <c r="A113" s="315"/>
      <c r="B113" s="315"/>
      <c r="C113" s="321">
        <v>2220100</v>
      </c>
      <c r="D113" s="348" t="s">
        <v>61</v>
      </c>
      <c r="E113" s="344">
        <f>SUM(E114:E116)</f>
        <v>800000</v>
      </c>
      <c r="F113" s="319">
        <f t="shared" ref="F113:G113" si="109">E113*1.1</f>
        <v>880000.00000000012</v>
      </c>
      <c r="G113" s="319">
        <f t="shared" si="109"/>
        <v>968000.00000000023</v>
      </c>
      <c r="H113" s="132"/>
    </row>
    <row r="114" spans="1:8" s="290" customFormat="1" outlineLevel="2">
      <c r="A114" s="315"/>
      <c r="B114" s="315"/>
      <c r="C114" s="349">
        <v>2220101</v>
      </c>
      <c r="D114" s="350" t="s">
        <v>92</v>
      </c>
      <c r="E114" s="347">
        <v>300000</v>
      </c>
      <c r="F114" s="319">
        <f t="shared" ref="F114:G114" si="110">E114*1.1</f>
        <v>330000</v>
      </c>
      <c r="G114" s="319">
        <f t="shared" si="110"/>
        <v>363000.00000000006</v>
      </c>
      <c r="H114" s="132"/>
    </row>
    <row r="115" spans="1:8" s="290" customFormat="1" outlineLevel="2">
      <c r="A115" s="315"/>
      <c r="B115" s="315"/>
      <c r="C115" s="349">
        <v>2220102</v>
      </c>
      <c r="D115" s="350" t="s">
        <v>63</v>
      </c>
      <c r="E115" s="347">
        <v>200000</v>
      </c>
      <c r="F115" s="319">
        <f t="shared" ref="F115:G115" si="111">E115*1.1</f>
        <v>220000.00000000003</v>
      </c>
      <c r="G115" s="319">
        <f t="shared" si="111"/>
        <v>242000.00000000006</v>
      </c>
      <c r="H115" s="132"/>
    </row>
    <row r="116" spans="1:8" s="290" customFormat="1" outlineLevel="2">
      <c r="A116" s="315"/>
      <c r="B116" s="315"/>
      <c r="C116" s="351">
        <v>2220105</v>
      </c>
      <c r="D116" s="352" t="s">
        <v>93</v>
      </c>
      <c r="E116" s="347">
        <v>300000</v>
      </c>
      <c r="F116" s="319">
        <f t="shared" ref="F116:G116" si="112">E116*1.1</f>
        <v>330000</v>
      </c>
      <c r="G116" s="319">
        <f t="shared" si="112"/>
        <v>363000.00000000006</v>
      </c>
      <c r="H116" s="132"/>
    </row>
    <row r="117" spans="1:8" s="290" customFormat="1" outlineLevel="2">
      <c r="A117" s="315"/>
      <c r="B117" s="315"/>
      <c r="C117" s="353">
        <v>2220200</v>
      </c>
      <c r="D117" s="354" t="s">
        <v>94</v>
      </c>
      <c r="E117" s="344">
        <f>E118</f>
        <v>300000</v>
      </c>
      <c r="F117" s="319">
        <f t="shared" ref="F117:G117" si="113">E117*1.1</f>
        <v>330000</v>
      </c>
      <c r="G117" s="319">
        <f t="shared" si="113"/>
        <v>363000.00000000006</v>
      </c>
      <c r="H117" s="132"/>
    </row>
    <row r="118" spans="1:8" s="290" customFormat="1" outlineLevel="2">
      <c r="A118" s="315"/>
      <c r="B118" s="315"/>
      <c r="C118" s="351">
        <v>2220205</v>
      </c>
      <c r="D118" s="352" t="s">
        <v>95</v>
      </c>
      <c r="E118" s="347">
        <v>300000</v>
      </c>
      <c r="F118" s="319">
        <f t="shared" ref="F118:G118" si="114">E118*1.1</f>
        <v>330000</v>
      </c>
      <c r="G118" s="319">
        <f t="shared" si="114"/>
        <v>363000.00000000006</v>
      </c>
      <c r="H118" s="132"/>
    </row>
    <row r="119" spans="1:8" s="290" customFormat="1" outlineLevel="2">
      <c r="A119" s="315"/>
      <c r="B119" s="315"/>
      <c r="C119" s="321">
        <v>3111000</v>
      </c>
      <c r="D119" s="348" t="s">
        <v>65</v>
      </c>
      <c r="E119" s="344">
        <f>SUM(E120:E121)</f>
        <v>1100000</v>
      </c>
      <c r="F119" s="319">
        <f t="shared" ref="F119:G119" si="115">E119*1.1</f>
        <v>1210000</v>
      </c>
      <c r="G119" s="319">
        <f t="shared" si="115"/>
        <v>1331000</v>
      </c>
      <c r="H119" s="132"/>
    </row>
    <row r="120" spans="1:8" s="290" customFormat="1" outlineLevel="2">
      <c r="A120" s="315"/>
      <c r="B120" s="315"/>
      <c r="C120" s="355">
        <v>3111001</v>
      </c>
      <c r="D120" s="350" t="s">
        <v>66</v>
      </c>
      <c r="E120" s="347">
        <v>600000</v>
      </c>
      <c r="F120" s="319">
        <f t="shared" ref="F120:G120" si="116">E120*1.1</f>
        <v>660000</v>
      </c>
      <c r="G120" s="319">
        <f t="shared" si="116"/>
        <v>726000.00000000012</v>
      </c>
      <c r="H120" s="132"/>
    </row>
    <row r="121" spans="1:8" s="290" customFormat="1" outlineLevel="2">
      <c r="A121" s="315"/>
      <c r="B121" s="315"/>
      <c r="C121" s="349">
        <v>3111002</v>
      </c>
      <c r="D121" s="350" t="s">
        <v>67</v>
      </c>
      <c r="E121" s="347">
        <v>500000</v>
      </c>
      <c r="F121" s="319">
        <f t="shared" ref="F121:G121" si="117">E121*1.1</f>
        <v>550000</v>
      </c>
      <c r="G121" s="319">
        <f t="shared" si="117"/>
        <v>605000</v>
      </c>
      <c r="H121" s="132"/>
    </row>
    <row r="122" spans="1:8" s="290" customFormat="1" outlineLevel="1">
      <c r="A122" s="315"/>
      <c r="B122" s="315"/>
      <c r="C122" s="325"/>
      <c r="D122" s="336" t="s">
        <v>96</v>
      </c>
      <c r="E122" s="356">
        <f>E82+E85+E88+E92+E94+E101+E104+E108+E111+E117+E119+E113</f>
        <v>12220000</v>
      </c>
      <c r="F122" s="319">
        <f t="shared" ref="F122:G122" si="118">E122*1.1</f>
        <v>13442000.000000002</v>
      </c>
      <c r="G122" s="319">
        <f t="shared" si="118"/>
        <v>14786200.000000004</v>
      </c>
      <c r="H122" s="132"/>
    </row>
    <row r="123" spans="1:8" s="290" customFormat="1" outlineLevel="1">
      <c r="A123" s="315"/>
      <c r="B123" s="315"/>
      <c r="C123" s="335"/>
      <c r="D123" s="336" t="s">
        <v>80</v>
      </c>
      <c r="E123" s="337">
        <f>E122</f>
        <v>12220000</v>
      </c>
      <c r="F123" s="319">
        <f t="shared" ref="F123:G123" si="119">E123*1.1</f>
        <v>13442000.000000002</v>
      </c>
      <c r="G123" s="319">
        <f t="shared" si="119"/>
        <v>14786200.000000004</v>
      </c>
      <c r="H123" s="132"/>
    </row>
    <row r="124" spans="1:8" s="290" customFormat="1" outlineLevel="1">
      <c r="A124" s="315"/>
      <c r="B124" s="315"/>
      <c r="C124" s="335"/>
      <c r="D124" s="336"/>
      <c r="E124" s="337"/>
      <c r="F124" s="319">
        <f t="shared" ref="F124:G124" si="120">E124*1.1</f>
        <v>0</v>
      </c>
      <c r="G124" s="319">
        <f t="shared" si="120"/>
        <v>0</v>
      </c>
      <c r="H124" s="132"/>
    </row>
    <row r="125" spans="1:8" s="290" customFormat="1" outlineLevel="1">
      <c r="A125" s="315"/>
      <c r="B125" s="315"/>
      <c r="C125" s="316" t="s">
        <v>97</v>
      </c>
      <c r="D125" s="336"/>
      <c r="E125" s="337"/>
      <c r="F125" s="319">
        <f t="shared" ref="F125:G125" si="121">E125*1.1</f>
        <v>0</v>
      </c>
      <c r="G125" s="319">
        <f t="shared" si="121"/>
        <v>0</v>
      </c>
      <c r="H125" s="132"/>
    </row>
    <row r="126" spans="1:8" s="290" customFormat="1" outlineLevel="1">
      <c r="A126" s="315"/>
      <c r="B126" s="357" t="s">
        <v>98</v>
      </c>
      <c r="C126" s="358" t="s">
        <v>99</v>
      </c>
      <c r="D126" s="359"/>
      <c r="E126" s="360"/>
      <c r="F126" s="319">
        <f t="shared" ref="F126:G126" si="122">E126*1.1</f>
        <v>0</v>
      </c>
      <c r="G126" s="319">
        <f t="shared" si="122"/>
        <v>0</v>
      </c>
      <c r="H126" s="132"/>
    </row>
    <row r="127" spans="1:8" s="290" customFormat="1" outlineLevel="2">
      <c r="A127" s="315"/>
      <c r="B127" s="361"/>
      <c r="C127" s="342">
        <v>2210100</v>
      </c>
      <c r="D127" s="343" t="s">
        <v>16</v>
      </c>
      <c r="E127" s="362">
        <f>E128+E129</f>
        <v>1000000</v>
      </c>
      <c r="F127" s="319">
        <f t="shared" ref="F127:G127" si="123">E127*1.1</f>
        <v>1100000</v>
      </c>
      <c r="G127" s="319">
        <f t="shared" si="123"/>
        <v>1210000</v>
      </c>
      <c r="H127" s="132"/>
    </row>
    <row r="128" spans="1:8" s="290" customFormat="1" outlineLevel="2">
      <c r="A128" s="315"/>
      <c r="B128" s="361"/>
      <c r="C128" s="345">
        <v>2210101</v>
      </c>
      <c r="D128" s="346" t="s">
        <v>17</v>
      </c>
      <c r="E128" s="360">
        <v>800000</v>
      </c>
      <c r="F128" s="319">
        <f t="shared" ref="F128:G128" si="124">E128*1.1</f>
        <v>880000.00000000012</v>
      </c>
      <c r="G128" s="319">
        <f t="shared" si="124"/>
        <v>968000.00000000023</v>
      </c>
      <c r="H128" s="132"/>
    </row>
    <row r="129" spans="1:8" s="290" customFormat="1" outlineLevel="2">
      <c r="A129" s="315"/>
      <c r="B129" s="361"/>
      <c r="C129" s="345">
        <v>2210102</v>
      </c>
      <c r="D129" s="346" t="s">
        <v>18</v>
      </c>
      <c r="E129" s="360">
        <v>200000</v>
      </c>
      <c r="F129" s="319">
        <f t="shared" ref="F129:G129" si="125">E129*1.1</f>
        <v>220000.00000000003</v>
      </c>
      <c r="G129" s="319">
        <f t="shared" si="125"/>
        <v>242000.00000000006</v>
      </c>
      <c r="H129" s="132"/>
    </row>
    <row r="130" spans="1:8" s="290" customFormat="1" outlineLevel="2">
      <c r="A130" s="315"/>
      <c r="B130" s="363"/>
      <c r="C130" s="364">
        <v>2210200</v>
      </c>
      <c r="D130" s="365" t="s">
        <v>19</v>
      </c>
      <c r="E130" s="362">
        <f>E131+E132</f>
        <v>220000</v>
      </c>
      <c r="F130" s="319">
        <f t="shared" ref="F130:G130" si="126">E130*1.1</f>
        <v>242000.00000000003</v>
      </c>
      <c r="G130" s="319">
        <f t="shared" si="126"/>
        <v>266200.00000000006</v>
      </c>
      <c r="H130" s="132"/>
    </row>
    <row r="131" spans="1:8" s="290" customFormat="1" outlineLevel="2">
      <c r="A131" s="315"/>
      <c r="B131" s="361"/>
      <c r="C131" s="366">
        <v>2210201</v>
      </c>
      <c r="D131" s="367" t="s">
        <v>20</v>
      </c>
      <c r="E131" s="360">
        <v>120000</v>
      </c>
      <c r="F131" s="319">
        <f t="shared" ref="F131:G131" si="127">E131*1.1</f>
        <v>132000</v>
      </c>
      <c r="G131" s="319">
        <f t="shared" si="127"/>
        <v>145200</v>
      </c>
      <c r="H131" s="132"/>
    </row>
    <row r="132" spans="1:8" s="290" customFormat="1" outlineLevel="2">
      <c r="A132" s="315"/>
      <c r="B132" s="361"/>
      <c r="C132" s="366">
        <v>2210202</v>
      </c>
      <c r="D132" s="367" t="s">
        <v>21</v>
      </c>
      <c r="E132" s="360">
        <v>100000</v>
      </c>
      <c r="F132" s="319">
        <f t="shared" ref="F132:G132" si="128">E132*1.1</f>
        <v>110000.00000000001</v>
      </c>
      <c r="G132" s="319">
        <f t="shared" si="128"/>
        <v>121000.00000000003</v>
      </c>
      <c r="H132" s="132"/>
    </row>
    <row r="133" spans="1:8" s="290" customFormat="1" ht="30" outlineLevel="2">
      <c r="A133" s="315"/>
      <c r="B133" s="363"/>
      <c r="C133" s="364">
        <v>2210300</v>
      </c>
      <c r="D133" s="365" t="s">
        <v>23</v>
      </c>
      <c r="E133" s="362">
        <f>E134+E135+E136</f>
        <v>2000000</v>
      </c>
      <c r="F133" s="319">
        <f t="shared" ref="F133:G133" si="129">E133*1.1</f>
        <v>2200000</v>
      </c>
      <c r="G133" s="319">
        <f t="shared" si="129"/>
        <v>2420000</v>
      </c>
      <c r="H133" s="132"/>
    </row>
    <row r="134" spans="1:8" s="290" customFormat="1" outlineLevel="2">
      <c r="A134" s="315"/>
      <c r="B134" s="361"/>
      <c r="C134" s="366">
        <v>2210301</v>
      </c>
      <c r="D134" s="367" t="s">
        <v>24</v>
      </c>
      <c r="E134" s="360">
        <v>800000</v>
      </c>
      <c r="F134" s="319">
        <f t="shared" ref="F134:G134" si="130">E134*1.1</f>
        <v>880000.00000000012</v>
      </c>
      <c r="G134" s="319">
        <f t="shared" si="130"/>
        <v>968000.00000000023</v>
      </c>
      <c r="H134" s="132"/>
    </row>
    <row r="135" spans="1:8" s="290" customFormat="1" outlineLevel="2">
      <c r="A135" s="315"/>
      <c r="B135" s="361"/>
      <c r="C135" s="366">
        <v>2210302</v>
      </c>
      <c r="D135" s="367" t="s">
        <v>25</v>
      </c>
      <c r="E135" s="360">
        <v>700000</v>
      </c>
      <c r="F135" s="319">
        <f t="shared" ref="F135:G135" si="131">E135*1.1</f>
        <v>770000.00000000012</v>
      </c>
      <c r="G135" s="319">
        <f t="shared" si="131"/>
        <v>847000.00000000023</v>
      </c>
      <c r="H135" s="132"/>
    </row>
    <row r="136" spans="1:8" s="290" customFormat="1" outlineLevel="2">
      <c r="A136" s="315"/>
      <c r="B136" s="361"/>
      <c r="C136" s="366">
        <v>2210303</v>
      </c>
      <c r="D136" s="367" t="s">
        <v>26</v>
      </c>
      <c r="E136" s="360">
        <f>1000000-500000</f>
        <v>500000</v>
      </c>
      <c r="F136" s="319">
        <f t="shared" ref="F136:G136" si="132">E136*1.1</f>
        <v>550000</v>
      </c>
      <c r="G136" s="319">
        <f t="shared" si="132"/>
        <v>605000</v>
      </c>
      <c r="H136" s="132"/>
    </row>
    <row r="137" spans="1:8" s="290" customFormat="1" outlineLevel="2">
      <c r="A137" s="315"/>
      <c r="B137" s="363"/>
      <c r="C137" s="364">
        <v>2210700</v>
      </c>
      <c r="D137" s="365" t="s">
        <v>34</v>
      </c>
      <c r="E137" s="362">
        <f>E138+E139+E140+E141+E142+E143</f>
        <v>1300000</v>
      </c>
      <c r="F137" s="319">
        <f t="shared" ref="F137:G137" si="133">E137*1.1</f>
        <v>1430000</v>
      </c>
      <c r="G137" s="319">
        <f t="shared" si="133"/>
        <v>1573000.0000000002</v>
      </c>
      <c r="H137" s="132"/>
    </row>
    <row r="138" spans="1:8" s="290" customFormat="1" outlineLevel="2">
      <c r="A138" s="315"/>
      <c r="B138" s="361"/>
      <c r="C138" s="366">
        <v>2210701</v>
      </c>
      <c r="D138" s="367" t="s">
        <v>35</v>
      </c>
      <c r="E138" s="360">
        <v>100000</v>
      </c>
      <c r="F138" s="319">
        <f t="shared" ref="F138:G138" si="134">E138*1.1</f>
        <v>110000.00000000001</v>
      </c>
      <c r="G138" s="319">
        <f t="shared" si="134"/>
        <v>121000.00000000003</v>
      </c>
      <c r="H138" s="132"/>
    </row>
    <row r="139" spans="1:8" s="290" customFormat="1" outlineLevel="2">
      <c r="A139" s="315"/>
      <c r="B139" s="361"/>
      <c r="C139" s="366">
        <v>2210702</v>
      </c>
      <c r="D139" s="367" t="s">
        <v>83</v>
      </c>
      <c r="E139" s="360">
        <v>500000</v>
      </c>
      <c r="F139" s="319">
        <f t="shared" ref="F139:G139" si="135">E139*1.1</f>
        <v>550000</v>
      </c>
      <c r="G139" s="319">
        <f t="shared" si="135"/>
        <v>605000</v>
      </c>
      <c r="H139" s="132"/>
    </row>
    <row r="140" spans="1:8" s="290" customFormat="1" outlineLevel="2">
      <c r="A140" s="315"/>
      <c r="B140" s="361"/>
      <c r="C140" s="366">
        <v>2210704</v>
      </c>
      <c r="D140" s="367" t="s">
        <v>37</v>
      </c>
      <c r="E140" s="360">
        <v>100000</v>
      </c>
      <c r="F140" s="319">
        <f t="shared" ref="F140:G140" si="136">E140*1.1</f>
        <v>110000.00000000001</v>
      </c>
      <c r="G140" s="319">
        <f t="shared" si="136"/>
        <v>121000.00000000003</v>
      </c>
      <c r="H140" s="132"/>
    </row>
    <row r="141" spans="1:8" s="290" customFormat="1" outlineLevel="2">
      <c r="A141" s="315"/>
      <c r="B141" s="361"/>
      <c r="C141" s="366">
        <v>2210710</v>
      </c>
      <c r="D141" s="367" t="s">
        <v>38</v>
      </c>
      <c r="E141" s="360">
        <v>100000</v>
      </c>
      <c r="F141" s="319">
        <f t="shared" ref="F141:G141" si="137">E141*1.1</f>
        <v>110000.00000000001</v>
      </c>
      <c r="G141" s="319">
        <f t="shared" si="137"/>
        <v>121000.00000000003</v>
      </c>
      <c r="H141" s="132"/>
    </row>
    <row r="142" spans="1:8" s="290" customFormat="1" outlineLevel="2">
      <c r="A142" s="315"/>
      <c r="B142" s="361"/>
      <c r="C142" s="366">
        <v>2210715</v>
      </c>
      <c r="D142" s="367" t="s">
        <v>39</v>
      </c>
      <c r="E142" s="360">
        <v>500000</v>
      </c>
      <c r="F142" s="319">
        <f t="shared" ref="F142:G142" si="138">E142*1.1</f>
        <v>550000</v>
      </c>
      <c r="G142" s="319">
        <f t="shared" si="138"/>
        <v>605000</v>
      </c>
      <c r="H142" s="132"/>
    </row>
    <row r="143" spans="1:8" s="290" customFormat="1" outlineLevel="2">
      <c r="A143" s="315"/>
      <c r="B143" s="361"/>
      <c r="C143" s="366">
        <v>2210799</v>
      </c>
      <c r="D143" s="367" t="s">
        <v>100</v>
      </c>
      <c r="E143" s="360">
        <v>0</v>
      </c>
      <c r="F143" s="319">
        <f t="shared" ref="F143:G143" si="139">E143*1.1</f>
        <v>0</v>
      </c>
      <c r="G143" s="319">
        <f t="shared" si="139"/>
        <v>0</v>
      </c>
      <c r="H143" s="132"/>
    </row>
    <row r="144" spans="1:8" s="290" customFormat="1" outlineLevel="2">
      <c r="A144" s="315"/>
      <c r="B144" s="363"/>
      <c r="C144" s="364">
        <v>2210800</v>
      </c>
      <c r="D144" s="365" t="s">
        <v>41</v>
      </c>
      <c r="E144" s="362">
        <f>E145+E146</f>
        <v>3200000</v>
      </c>
      <c r="F144" s="319">
        <f t="shared" ref="F144:G144" si="140">E144*1.1</f>
        <v>3520000.0000000005</v>
      </c>
      <c r="G144" s="319">
        <f t="shared" si="140"/>
        <v>3872000.0000000009</v>
      </c>
      <c r="H144" s="132"/>
    </row>
    <row r="145" spans="1:8" s="290" customFormat="1" ht="30" outlineLevel="2">
      <c r="A145" s="315"/>
      <c r="B145" s="361"/>
      <c r="C145" s="366">
        <v>2210801</v>
      </c>
      <c r="D145" s="367" t="s">
        <v>85</v>
      </c>
      <c r="E145" s="360">
        <v>1800000</v>
      </c>
      <c r="F145" s="319">
        <f t="shared" ref="F145:G145" si="141">E145*1.1</f>
        <v>1980000.0000000002</v>
      </c>
      <c r="G145" s="319">
        <f t="shared" si="141"/>
        <v>2178000.0000000005</v>
      </c>
      <c r="H145" s="132"/>
    </row>
    <row r="146" spans="1:8" s="290" customFormat="1" outlineLevel="2">
      <c r="A146" s="315"/>
      <c r="B146" s="361"/>
      <c r="C146" s="366">
        <v>2210802</v>
      </c>
      <c r="D146" s="367" t="s">
        <v>86</v>
      </c>
      <c r="E146" s="360">
        <v>1400000</v>
      </c>
      <c r="F146" s="319">
        <f t="shared" ref="F146:G146" si="142">E146*1.1</f>
        <v>1540000.0000000002</v>
      </c>
      <c r="G146" s="319">
        <f t="shared" si="142"/>
        <v>1694000.0000000005</v>
      </c>
      <c r="H146" s="132"/>
    </row>
    <row r="147" spans="1:8" s="290" customFormat="1" outlineLevel="2">
      <c r="A147" s="315"/>
      <c r="B147" s="363"/>
      <c r="C147" s="364">
        <v>2211100</v>
      </c>
      <c r="D147" s="365" t="s">
        <v>49</v>
      </c>
      <c r="E147" s="362">
        <f>E148+E149+E150</f>
        <v>3200000</v>
      </c>
      <c r="F147" s="319">
        <f t="shared" ref="F147:G147" si="143">E147*1.1</f>
        <v>3520000.0000000005</v>
      </c>
      <c r="G147" s="319">
        <f t="shared" si="143"/>
        <v>3872000.0000000009</v>
      </c>
      <c r="H147" s="132"/>
    </row>
    <row r="148" spans="1:8" s="290" customFormat="1" ht="30" outlineLevel="2">
      <c r="A148" s="315"/>
      <c r="B148" s="361"/>
      <c r="C148" s="366">
        <v>2211101</v>
      </c>
      <c r="D148" s="367" t="s">
        <v>87</v>
      </c>
      <c r="E148" s="360">
        <f>1700000-200000</f>
        <v>1500000</v>
      </c>
      <c r="F148" s="319">
        <f t="shared" ref="F148:G148" si="144">E148*1.1</f>
        <v>1650000.0000000002</v>
      </c>
      <c r="G148" s="319">
        <f t="shared" si="144"/>
        <v>1815000.0000000005</v>
      </c>
      <c r="H148" s="132"/>
    </row>
    <row r="149" spans="1:8" s="290" customFormat="1" outlineLevel="2">
      <c r="A149" s="315"/>
      <c r="B149" s="361"/>
      <c r="C149" s="366">
        <v>2211102</v>
      </c>
      <c r="D149" s="367" t="s">
        <v>51</v>
      </c>
      <c r="E149" s="360">
        <v>800000</v>
      </c>
      <c r="F149" s="319">
        <f t="shared" ref="F149:G149" si="145">E149*1.1</f>
        <v>880000.00000000012</v>
      </c>
      <c r="G149" s="319">
        <f t="shared" si="145"/>
        <v>968000.00000000023</v>
      </c>
      <c r="H149" s="132"/>
    </row>
    <row r="150" spans="1:8" s="290" customFormat="1" outlineLevel="2">
      <c r="A150" s="315"/>
      <c r="B150" s="361"/>
      <c r="C150" s="366">
        <v>2211103</v>
      </c>
      <c r="D150" s="367" t="s">
        <v>52</v>
      </c>
      <c r="E150" s="360">
        <v>900000</v>
      </c>
      <c r="F150" s="319">
        <f t="shared" ref="F150:G150" si="146">E150*1.1</f>
        <v>990000.00000000012</v>
      </c>
      <c r="G150" s="319">
        <f t="shared" si="146"/>
        <v>1089000.0000000002</v>
      </c>
      <c r="H150" s="132"/>
    </row>
    <row r="151" spans="1:8" s="290" customFormat="1" outlineLevel="2">
      <c r="A151" s="315"/>
      <c r="B151" s="363"/>
      <c r="C151" s="364">
        <v>2211200</v>
      </c>
      <c r="D151" s="365" t="s">
        <v>53</v>
      </c>
      <c r="E151" s="362">
        <f>E152</f>
        <v>500000</v>
      </c>
      <c r="F151" s="319">
        <f t="shared" ref="F151:G151" si="147">E151*1.1</f>
        <v>550000</v>
      </c>
      <c r="G151" s="319">
        <f t="shared" si="147"/>
        <v>605000</v>
      </c>
      <c r="H151" s="132"/>
    </row>
    <row r="152" spans="1:8" s="290" customFormat="1" outlineLevel="2">
      <c r="A152" s="315"/>
      <c r="B152" s="361"/>
      <c r="C152" s="366">
        <v>2211201</v>
      </c>
      <c r="D152" s="367" t="s">
        <v>91</v>
      </c>
      <c r="E152" s="360">
        <v>500000</v>
      </c>
      <c r="F152" s="319">
        <f t="shared" ref="F152:G152" si="148">E152*1.1</f>
        <v>550000</v>
      </c>
      <c r="G152" s="319">
        <f t="shared" si="148"/>
        <v>605000</v>
      </c>
      <c r="H152" s="132"/>
    </row>
    <row r="153" spans="1:8" s="290" customFormat="1" ht="30" outlineLevel="2">
      <c r="A153" s="315"/>
      <c r="B153" s="363"/>
      <c r="C153" s="364">
        <v>2220100</v>
      </c>
      <c r="D153" s="365" t="s">
        <v>61</v>
      </c>
      <c r="E153" s="362">
        <f>E154+E155</f>
        <v>1200000</v>
      </c>
      <c r="F153" s="319">
        <f t="shared" ref="F153:G153" si="149">E153*1.1</f>
        <v>1320000</v>
      </c>
      <c r="G153" s="319">
        <f t="shared" si="149"/>
        <v>1452000.0000000002</v>
      </c>
      <c r="H153" s="132"/>
    </row>
    <row r="154" spans="1:8" s="290" customFormat="1" outlineLevel="2">
      <c r="A154" s="315"/>
      <c r="B154" s="361"/>
      <c r="C154" s="366">
        <v>2220101</v>
      </c>
      <c r="D154" s="367" t="s">
        <v>92</v>
      </c>
      <c r="E154" s="360">
        <v>600000</v>
      </c>
      <c r="F154" s="319">
        <f t="shared" ref="F154:G154" si="150">E154*1.1</f>
        <v>660000</v>
      </c>
      <c r="G154" s="319">
        <f t="shared" si="150"/>
        <v>726000.00000000012</v>
      </c>
      <c r="H154" s="132"/>
    </row>
    <row r="155" spans="1:8" s="290" customFormat="1" outlineLevel="2">
      <c r="A155" s="315"/>
      <c r="B155" s="361"/>
      <c r="C155" s="351">
        <v>2220105</v>
      </c>
      <c r="D155" s="352" t="s">
        <v>93</v>
      </c>
      <c r="E155" s="360">
        <v>600000</v>
      </c>
      <c r="F155" s="319">
        <f t="shared" ref="F155:G155" si="151">E155*1.1</f>
        <v>660000</v>
      </c>
      <c r="G155" s="319">
        <f t="shared" si="151"/>
        <v>726000.00000000012</v>
      </c>
      <c r="H155" s="132"/>
    </row>
    <row r="156" spans="1:8" s="290" customFormat="1" outlineLevel="2">
      <c r="A156" s="315"/>
      <c r="B156" s="363"/>
      <c r="C156" s="353">
        <v>2220200</v>
      </c>
      <c r="D156" s="354" t="s">
        <v>94</v>
      </c>
      <c r="E156" s="362">
        <f>E157</f>
        <v>800000</v>
      </c>
      <c r="F156" s="319">
        <f t="shared" ref="F156:G156" si="152">E156*1.1</f>
        <v>880000.00000000012</v>
      </c>
      <c r="G156" s="319">
        <f t="shared" si="152"/>
        <v>968000.00000000023</v>
      </c>
      <c r="H156" s="132"/>
    </row>
    <row r="157" spans="1:8" s="290" customFormat="1" outlineLevel="2">
      <c r="A157" s="315"/>
      <c r="B157" s="361"/>
      <c r="C157" s="351">
        <v>2220205</v>
      </c>
      <c r="D157" s="352" t="s">
        <v>95</v>
      </c>
      <c r="E157" s="360">
        <v>800000</v>
      </c>
      <c r="F157" s="319">
        <f t="shared" ref="F157:G157" si="153">E157*1.1</f>
        <v>880000.00000000012</v>
      </c>
      <c r="G157" s="319">
        <f t="shared" si="153"/>
        <v>968000.00000000023</v>
      </c>
      <c r="H157" s="132"/>
    </row>
    <row r="158" spans="1:8" s="290" customFormat="1" outlineLevel="2">
      <c r="A158" s="315"/>
      <c r="B158" s="363"/>
      <c r="C158" s="364">
        <v>3111000</v>
      </c>
      <c r="D158" s="365" t="s">
        <v>65</v>
      </c>
      <c r="E158" s="362">
        <f>E159+E160</f>
        <v>2300000</v>
      </c>
      <c r="F158" s="319">
        <f t="shared" ref="F158:G158" si="154">E158*1.1</f>
        <v>2530000</v>
      </c>
      <c r="G158" s="319">
        <f t="shared" si="154"/>
        <v>2783000</v>
      </c>
      <c r="H158" s="132"/>
    </row>
    <row r="159" spans="1:8" s="290" customFormat="1" outlineLevel="2">
      <c r="A159" s="315"/>
      <c r="B159" s="361"/>
      <c r="C159" s="366">
        <v>3111001</v>
      </c>
      <c r="D159" s="367" t="s">
        <v>66</v>
      </c>
      <c r="E159" s="360">
        <v>800000</v>
      </c>
      <c r="F159" s="319">
        <f t="shared" ref="F159:G159" si="155">E159*1.1</f>
        <v>880000.00000000012</v>
      </c>
      <c r="G159" s="319">
        <f t="shared" si="155"/>
        <v>968000.00000000023</v>
      </c>
      <c r="H159" s="132"/>
    </row>
    <row r="160" spans="1:8" s="290" customFormat="1" outlineLevel="2">
      <c r="A160" s="315"/>
      <c r="B160" s="361"/>
      <c r="C160" s="366">
        <v>3111002</v>
      </c>
      <c r="D160" s="367" t="s">
        <v>67</v>
      </c>
      <c r="E160" s="360">
        <v>1500000</v>
      </c>
      <c r="F160" s="319">
        <f t="shared" ref="F160:G160" si="156">E160*1.1</f>
        <v>1650000.0000000002</v>
      </c>
      <c r="G160" s="319">
        <f t="shared" si="156"/>
        <v>1815000.0000000005</v>
      </c>
      <c r="H160" s="132"/>
    </row>
    <row r="161" spans="1:8" s="290" customFormat="1" outlineLevel="1">
      <c r="A161" s="315"/>
      <c r="B161" s="363"/>
      <c r="C161" s="364"/>
      <c r="D161" s="365" t="s">
        <v>101</v>
      </c>
      <c r="E161" s="362">
        <f>E158+E156+E153+E151+E147+E144+E137+E133+E130+E127</f>
        <v>15720000</v>
      </c>
      <c r="F161" s="319">
        <f t="shared" ref="F161:G161" si="157">E161*1.1</f>
        <v>17292000</v>
      </c>
      <c r="G161" s="319">
        <f t="shared" si="157"/>
        <v>19021200</v>
      </c>
      <c r="H161" s="132"/>
    </row>
    <row r="162" spans="1:8" s="290" customFormat="1" outlineLevel="1">
      <c r="A162" s="315"/>
      <c r="B162" s="363"/>
      <c r="C162" s="364"/>
      <c r="D162" s="365" t="s">
        <v>80</v>
      </c>
      <c r="E162" s="362">
        <f>E161</f>
        <v>15720000</v>
      </c>
      <c r="F162" s="319">
        <f t="shared" ref="F162:G162" si="158">E162*1.1</f>
        <v>17292000</v>
      </c>
      <c r="G162" s="319">
        <f t="shared" si="158"/>
        <v>19021200</v>
      </c>
      <c r="H162" s="132"/>
    </row>
    <row r="163" spans="1:8" s="290" customFormat="1" outlineLevel="1">
      <c r="A163" s="315"/>
      <c r="B163" s="315"/>
      <c r="C163" s="321"/>
      <c r="D163" s="336"/>
      <c r="E163" s="344"/>
      <c r="F163" s="319">
        <f t="shared" ref="F163:G163" si="159">E163*1.1</f>
        <v>0</v>
      </c>
      <c r="G163" s="319">
        <f t="shared" si="159"/>
        <v>0</v>
      </c>
      <c r="H163" s="132"/>
    </row>
    <row r="164" spans="1:8" s="290" customFormat="1" outlineLevel="1">
      <c r="A164" s="315"/>
      <c r="B164" s="315"/>
      <c r="C164" s="316" t="s">
        <v>102</v>
      </c>
      <c r="D164" s="336"/>
      <c r="E164" s="344"/>
      <c r="F164" s="319">
        <f t="shared" ref="F164:G164" si="160">E164*1.1</f>
        <v>0</v>
      </c>
      <c r="G164" s="319">
        <f t="shared" si="160"/>
        <v>0</v>
      </c>
      <c r="H164" s="132"/>
    </row>
    <row r="165" spans="1:8" s="290" customFormat="1" outlineLevel="1">
      <c r="A165" s="315"/>
      <c r="B165" s="361" t="s">
        <v>98</v>
      </c>
      <c r="C165" s="358" t="s">
        <v>103</v>
      </c>
      <c r="D165" s="368"/>
      <c r="E165" s="360"/>
      <c r="F165" s="319">
        <f t="shared" ref="F165:G165" si="161">E165*1.1</f>
        <v>0</v>
      </c>
      <c r="G165" s="319">
        <f t="shared" si="161"/>
        <v>0</v>
      </c>
      <c r="H165" s="132"/>
    </row>
    <row r="166" spans="1:8" s="290" customFormat="1" outlineLevel="2">
      <c r="A166" s="315"/>
      <c r="B166" s="361"/>
      <c r="C166" s="342">
        <v>2210100</v>
      </c>
      <c r="D166" s="343" t="s">
        <v>16</v>
      </c>
      <c r="E166" s="362">
        <f>E167+E168</f>
        <v>1000000</v>
      </c>
      <c r="F166" s="319">
        <f t="shared" ref="F166:G166" si="162">E166*1.1</f>
        <v>1100000</v>
      </c>
      <c r="G166" s="319">
        <f t="shared" si="162"/>
        <v>1210000</v>
      </c>
      <c r="H166" s="132"/>
    </row>
    <row r="167" spans="1:8" s="290" customFormat="1" outlineLevel="2">
      <c r="A167" s="315"/>
      <c r="B167" s="361"/>
      <c r="C167" s="345">
        <v>2210101</v>
      </c>
      <c r="D167" s="346" t="s">
        <v>17</v>
      </c>
      <c r="E167" s="360">
        <v>800000</v>
      </c>
      <c r="F167" s="319">
        <f t="shared" ref="F167:G167" si="163">E167*1.1</f>
        <v>880000.00000000012</v>
      </c>
      <c r="G167" s="319">
        <f t="shared" si="163"/>
        <v>968000.00000000023</v>
      </c>
      <c r="H167" s="132"/>
    </row>
    <row r="168" spans="1:8" s="290" customFormat="1" outlineLevel="2">
      <c r="A168" s="315"/>
      <c r="B168" s="361"/>
      <c r="C168" s="345">
        <v>2210102</v>
      </c>
      <c r="D168" s="346" t="s">
        <v>18</v>
      </c>
      <c r="E168" s="360">
        <v>200000</v>
      </c>
      <c r="F168" s="319">
        <f t="shared" ref="F168:G168" si="164">E168*1.1</f>
        <v>220000.00000000003</v>
      </c>
      <c r="G168" s="319">
        <f t="shared" si="164"/>
        <v>242000.00000000006</v>
      </c>
      <c r="H168" s="132"/>
    </row>
    <row r="169" spans="1:8" s="290" customFormat="1" outlineLevel="2">
      <c r="A169" s="315"/>
      <c r="B169" s="363"/>
      <c r="C169" s="364">
        <v>2210200</v>
      </c>
      <c r="D169" s="365" t="s">
        <v>19</v>
      </c>
      <c r="E169" s="362">
        <f>E170+E171</f>
        <v>220000</v>
      </c>
      <c r="F169" s="319">
        <f t="shared" ref="F169:G169" si="165">E169*1.1</f>
        <v>242000.00000000003</v>
      </c>
      <c r="G169" s="319">
        <f t="shared" si="165"/>
        <v>266200.00000000006</v>
      </c>
      <c r="H169" s="132"/>
    </row>
    <row r="170" spans="1:8" s="290" customFormat="1" outlineLevel="2">
      <c r="A170" s="315"/>
      <c r="B170" s="361"/>
      <c r="C170" s="366">
        <v>2210201</v>
      </c>
      <c r="D170" s="367" t="s">
        <v>20</v>
      </c>
      <c r="E170" s="360">
        <v>120000</v>
      </c>
      <c r="F170" s="319">
        <f t="shared" ref="F170:G170" si="166">E170*1.1</f>
        <v>132000</v>
      </c>
      <c r="G170" s="319">
        <f t="shared" si="166"/>
        <v>145200</v>
      </c>
      <c r="H170" s="132"/>
    </row>
    <row r="171" spans="1:8" s="290" customFormat="1" outlineLevel="2">
      <c r="A171" s="315"/>
      <c r="B171" s="361"/>
      <c r="C171" s="366">
        <v>2210202</v>
      </c>
      <c r="D171" s="367" t="s">
        <v>21</v>
      </c>
      <c r="E171" s="360">
        <v>100000</v>
      </c>
      <c r="F171" s="319">
        <f t="shared" ref="F171:G171" si="167">E171*1.1</f>
        <v>110000.00000000001</v>
      </c>
      <c r="G171" s="319">
        <f t="shared" si="167"/>
        <v>121000.00000000003</v>
      </c>
      <c r="H171" s="132"/>
    </row>
    <row r="172" spans="1:8" s="290" customFormat="1" ht="30" outlineLevel="2">
      <c r="A172" s="315"/>
      <c r="B172" s="363"/>
      <c r="C172" s="364">
        <v>2210300</v>
      </c>
      <c r="D172" s="365" t="s">
        <v>23</v>
      </c>
      <c r="E172" s="362">
        <f>E173+E174+E175</f>
        <v>1500000</v>
      </c>
      <c r="F172" s="319">
        <f t="shared" ref="F172:G172" si="168">E172*1.1</f>
        <v>1650000.0000000002</v>
      </c>
      <c r="G172" s="319">
        <f t="shared" si="168"/>
        <v>1815000.0000000005</v>
      </c>
      <c r="H172" s="132"/>
    </row>
    <row r="173" spans="1:8" s="290" customFormat="1" outlineLevel="2">
      <c r="A173" s="315"/>
      <c r="B173" s="361"/>
      <c r="C173" s="366">
        <v>2210301</v>
      </c>
      <c r="D173" s="367" t="s">
        <v>24</v>
      </c>
      <c r="E173" s="360">
        <v>500000</v>
      </c>
      <c r="F173" s="319">
        <f t="shared" ref="F173:G173" si="169">E173*1.1</f>
        <v>550000</v>
      </c>
      <c r="G173" s="319">
        <f t="shared" si="169"/>
        <v>605000</v>
      </c>
      <c r="H173" s="132"/>
    </row>
    <row r="174" spans="1:8" s="290" customFormat="1" outlineLevel="2">
      <c r="A174" s="315"/>
      <c r="B174" s="361"/>
      <c r="C174" s="366">
        <v>2210302</v>
      </c>
      <c r="D174" s="367" t="s">
        <v>25</v>
      </c>
      <c r="E174" s="360">
        <v>500000</v>
      </c>
      <c r="F174" s="319">
        <f t="shared" ref="F174:G174" si="170">E174*1.1</f>
        <v>550000</v>
      </c>
      <c r="G174" s="319">
        <f t="shared" si="170"/>
        <v>605000</v>
      </c>
      <c r="H174" s="132"/>
    </row>
    <row r="175" spans="1:8" s="290" customFormat="1" outlineLevel="2">
      <c r="A175" s="315"/>
      <c r="B175" s="361"/>
      <c r="C175" s="366">
        <v>2210303</v>
      </c>
      <c r="D175" s="367" t="s">
        <v>26</v>
      </c>
      <c r="E175" s="360">
        <v>500000</v>
      </c>
      <c r="F175" s="319">
        <f t="shared" ref="F175:G175" si="171">E175*1.1</f>
        <v>550000</v>
      </c>
      <c r="G175" s="319">
        <f t="shared" si="171"/>
        <v>605000</v>
      </c>
      <c r="H175" s="132"/>
    </row>
    <row r="176" spans="1:8" s="290" customFormat="1" outlineLevel="2">
      <c r="A176" s="315"/>
      <c r="B176" s="363"/>
      <c r="C176" s="364">
        <v>2210500</v>
      </c>
      <c r="D176" s="365" t="s">
        <v>30</v>
      </c>
      <c r="E176" s="362">
        <f>E177</f>
        <v>200000</v>
      </c>
      <c r="F176" s="319">
        <f t="shared" ref="F176:G176" si="172">E176*1.1</f>
        <v>220000.00000000003</v>
      </c>
      <c r="G176" s="319">
        <f t="shared" si="172"/>
        <v>242000.00000000006</v>
      </c>
      <c r="H176" s="132"/>
    </row>
    <row r="177" spans="1:8" s="290" customFormat="1" outlineLevel="2">
      <c r="A177" s="315"/>
      <c r="B177" s="361"/>
      <c r="C177" s="366">
        <v>2210503</v>
      </c>
      <c r="D177" s="367" t="s">
        <v>31</v>
      </c>
      <c r="E177" s="360">
        <v>200000</v>
      </c>
      <c r="F177" s="319">
        <f t="shared" ref="F177:G177" si="173">E177*1.1</f>
        <v>220000.00000000003</v>
      </c>
      <c r="G177" s="319">
        <f t="shared" si="173"/>
        <v>242000.00000000006</v>
      </c>
      <c r="H177" s="132"/>
    </row>
    <row r="178" spans="1:8" s="290" customFormat="1" outlineLevel="2">
      <c r="A178" s="315"/>
      <c r="B178" s="363"/>
      <c r="C178" s="364">
        <v>2210700</v>
      </c>
      <c r="D178" s="365" t="s">
        <v>34</v>
      </c>
      <c r="E178" s="362">
        <f>E179+E180+E181+E182+E183+E184</f>
        <v>600000</v>
      </c>
      <c r="F178" s="319">
        <f t="shared" ref="F178:G178" si="174">E178*1.1</f>
        <v>660000</v>
      </c>
      <c r="G178" s="319">
        <f t="shared" si="174"/>
        <v>726000.00000000012</v>
      </c>
      <c r="H178" s="132"/>
    </row>
    <row r="179" spans="1:8" s="290" customFormat="1" outlineLevel="2">
      <c r="A179" s="315"/>
      <c r="B179" s="361"/>
      <c r="C179" s="366">
        <v>2210701</v>
      </c>
      <c r="D179" s="367" t="s">
        <v>35</v>
      </c>
      <c r="E179" s="360">
        <v>100000</v>
      </c>
      <c r="F179" s="319">
        <f t="shared" ref="F179:G179" si="175">E179*1.1</f>
        <v>110000.00000000001</v>
      </c>
      <c r="G179" s="319">
        <f t="shared" si="175"/>
        <v>121000.00000000003</v>
      </c>
      <c r="H179" s="132"/>
    </row>
    <row r="180" spans="1:8" s="290" customFormat="1" outlineLevel="2">
      <c r="A180" s="315"/>
      <c r="B180" s="361"/>
      <c r="C180" s="366">
        <v>2210702</v>
      </c>
      <c r="D180" s="367" t="s">
        <v>83</v>
      </c>
      <c r="E180" s="360">
        <v>100000</v>
      </c>
      <c r="F180" s="319">
        <f t="shared" ref="F180:G180" si="176">E180*1.1</f>
        <v>110000.00000000001</v>
      </c>
      <c r="G180" s="319">
        <f t="shared" si="176"/>
        <v>121000.00000000003</v>
      </c>
      <c r="H180" s="132"/>
    </row>
    <row r="181" spans="1:8" s="290" customFormat="1" outlineLevel="2">
      <c r="A181" s="315"/>
      <c r="B181" s="361"/>
      <c r="C181" s="366">
        <v>2210704</v>
      </c>
      <c r="D181" s="367" t="s">
        <v>37</v>
      </c>
      <c r="E181" s="360">
        <v>100000</v>
      </c>
      <c r="F181" s="319">
        <f t="shared" ref="F181:G181" si="177">E181*1.1</f>
        <v>110000.00000000001</v>
      </c>
      <c r="G181" s="319">
        <f t="shared" si="177"/>
        <v>121000.00000000003</v>
      </c>
      <c r="H181" s="132"/>
    </row>
    <row r="182" spans="1:8" s="290" customFormat="1" outlineLevel="2">
      <c r="A182" s="315"/>
      <c r="B182" s="361"/>
      <c r="C182" s="366">
        <v>2210710</v>
      </c>
      <c r="D182" s="367" t="s">
        <v>38</v>
      </c>
      <c r="E182" s="360">
        <v>100000</v>
      </c>
      <c r="F182" s="319">
        <f t="shared" ref="F182:G182" si="178">E182*1.1</f>
        <v>110000.00000000001</v>
      </c>
      <c r="G182" s="319">
        <f t="shared" si="178"/>
        <v>121000.00000000003</v>
      </c>
      <c r="H182" s="132"/>
    </row>
    <row r="183" spans="1:8" s="290" customFormat="1" outlineLevel="2">
      <c r="A183" s="315"/>
      <c r="B183" s="361"/>
      <c r="C183" s="366">
        <v>2210715</v>
      </c>
      <c r="D183" s="367" t="s">
        <v>39</v>
      </c>
      <c r="E183" s="360">
        <v>200000</v>
      </c>
      <c r="F183" s="319">
        <f t="shared" ref="F183:G183" si="179">E183*1.1</f>
        <v>220000.00000000003</v>
      </c>
      <c r="G183" s="319">
        <f t="shared" si="179"/>
        <v>242000.00000000006</v>
      </c>
      <c r="H183" s="132"/>
    </row>
    <row r="184" spans="1:8" s="290" customFormat="1" outlineLevel="2">
      <c r="A184" s="315"/>
      <c r="B184" s="361"/>
      <c r="C184" s="366">
        <v>2210799</v>
      </c>
      <c r="D184" s="367" t="s">
        <v>100</v>
      </c>
      <c r="E184" s="360">
        <v>0</v>
      </c>
      <c r="F184" s="319">
        <f t="shared" ref="F184:G184" si="180">E184*1.1</f>
        <v>0</v>
      </c>
      <c r="G184" s="319">
        <f t="shared" si="180"/>
        <v>0</v>
      </c>
      <c r="H184" s="132"/>
    </row>
    <row r="185" spans="1:8" s="290" customFormat="1" outlineLevel="2">
      <c r="A185" s="315"/>
      <c r="B185" s="363"/>
      <c r="C185" s="364">
        <v>2210800</v>
      </c>
      <c r="D185" s="365" t="s">
        <v>41</v>
      </c>
      <c r="E185" s="362">
        <f>E186+E187</f>
        <v>1700000</v>
      </c>
      <c r="F185" s="319">
        <f t="shared" ref="F185:G185" si="181">E185*1.1</f>
        <v>1870000.0000000002</v>
      </c>
      <c r="G185" s="319">
        <f t="shared" si="181"/>
        <v>2057000.0000000005</v>
      </c>
      <c r="H185" s="132"/>
    </row>
    <row r="186" spans="1:8" s="290" customFormat="1" ht="30" outlineLevel="2">
      <c r="A186" s="315"/>
      <c r="B186" s="361"/>
      <c r="C186" s="366">
        <v>2210801</v>
      </c>
      <c r="D186" s="367" t="s">
        <v>85</v>
      </c>
      <c r="E186" s="360">
        <v>1200000</v>
      </c>
      <c r="F186" s="319">
        <f t="shared" ref="F186:G186" si="182">E186*1.1</f>
        <v>1320000</v>
      </c>
      <c r="G186" s="319">
        <f t="shared" si="182"/>
        <v>1452000.0000000002</v>
      </c>
      <c r="H186" s="132"/>
    </row>
    <row r="187" spans="1:8" s="290" customFormat="1" outlineLevel="2">
      <c r="A187" s="315"/>
      <c r="B187" s="361"/>
      <c r="C187" s="366">
        <v>2210802</v>
      </c>
      <c r="D187" s="367" t="s">
        <v>86</v>
      </c>
      <c r="E187" s="360">
        <v>500000</v>
      </c>
      <c r="F187" s="319">
        <f t="shared" ref="F187:G187" si="183">E187*1.1</f>
        <v>550000</v>
      </c>
      <c r="G187" s="319">
        <f t="shared" si="183"/>
        <v>605000</v>
      </c>
      <c r="H187" s="132"/>
    </row>
    <row r="188" spans="1:8" s="290" customFormat="1" outlineLevel="2">
      <c r="A188" s="315"/>
      <c r="B188" s="363"/>
      <c r="C188" s="364">
        <v>2211100</v>
      </c>
      <c r="D188" s="365" t="s">
        <v>49</v>
      </c>
      <c r="E188" s="362">
        <f>E189+E190+E191</f>
        <v>2000000</v>
      </c>
      <c r="F188" s="319">
        <f t="shared" ref="F188:G188" si="184">E188*1.1</f>
        <v>2200000</v>
      </c>
      <c r="G188" s="319">
        <f t="shared" si="184"/>
        <v>2420000</v>
      </c>
      <c r="H188" s="132"/>
    </row>
    <row r="189" spans="1:8" s="290" customFormat="1" ht="30" outlineLevel="2">
      <c r="A189" s="315"/>
      <c r="B189" s="361"/>
      <c r="C189" s="366">
        <v>2211101</v>
      </c>
      <c r="D189" s="367" t="s">
        <v>87</v>
      </c>
      <c r="E189" s="360">
        <v>750000</v>
      </c>
      <c r="F189" s="319">
        <f t="shared" ref="F189:G189" si="185">E189*1.1</f>
        <v>825000.00000000012</v>
      </c>
      <c r="G189" s="319">
        <f t="shared" si="185"/>
        <v>907500.00000000023</v>
      </c>
      <c r="H189" s="132"/>
    </row>
    <row r="190" spans="1:8" s="290" customFormat="1" outlineLevel="2">
      <c r="A190" s="315"/>
      <c r="B190" s="361"/>
      <c r="C190" s="366">
        <v>2211102</v>
      </c>
      <c r="D190" s="367" t="s">
        <v>51</v>
      </c>
      <c r="E190" s="360">
        <v>750000</v>
      </c>
      <c r="F190" s="319">
        <f t="shared" ref="F190:G190" si="186">E190*1.1</f>
        <v>825000.00000000012</v>
      </c>
      <c r="G190" s="319">
        <f t="shared" si="186"/>
        <v>907500.00000000023</v>
      </c>
      <c r="H190" s="132"/>
    </row>
    <row r="191" spans="1:8" s="290" customFormat="1" outlineLevel="2">
      <c r="A191" s="315"/>
      <c r="B191" s="361"/>
      <c r="C191" s="366">
        <v>2211103</v>
      </c>
      <c r="D191" s="367" t="s">
        <v>52</v>
      </c>
      <c r="E191" s="360">
        <v>500000</v>
      </c>
      <c r="F191" s="319">
        <f t="shared" ref="F191:G191" si="187">E191*1.1</f>
        <v>550000</v>
      </c>
      <c r="G191" s="319">
        <f t="shared" si="187"/>
        <v>605000</v>
      </c>
      <c r="H191" s="132"/>
    </row>
    <row r="192" spans="1:8" s="290" customFormat="1" outlineLevel="2">
      <c r="A192" s="315"/>
      <c r="B192" s="363"/>
      <c r="C192" s="364">
        <v>2211200</v>
      </c>
      <c r="D192" s="365" t="s">
        <v>53</v>
      </c>
      <c r="E192" s="362">
        <f>E193</f>
        <v>800000</v>
      </c>
      <c r="F192" s="319">
        <f t="shared" ref="F192:G192" si="188">E192*1.1</f>
        <v>880000.00000000012</v>
      </c>
      <c r="G192" s="319">
        <f t="shared" si="188"/>
        <v>968000.00000000023</v>
      </c>
      <c r="H192" s="132"/>
    </row>
    <row r="193" spans="1:8" s="290" customFormat="1" outlineLevel="2">
      <c r="A193" s="315"/>
      <c r="B193" s="361"/>
      <c r="C193" s="366">
        <v>2211201</v>
      </c>
      <c r="D193" s="367" t="s">
        <v>91</v>
      </c>
      <c r="E193" s="360">
        <v>800000</v>
      </c>
      <c r="F193" s="319">
        <f t="shared" ref="F193:G193" si="189">E193*1.1</f>
        <v>880000.00000000012</v>
      </c>
      <c r="G193" s="319">
        <f t="shared" si="189"/>
        <v>968000.00000000023</v>
      </c>
      <c r="H193" s="132"/>
    </row>
    <row r="194" spans="1:8" s="290" customFormat="1" ht="30" outlineLevel="2">
      <c r="A194" s="315"/>
      <c r="B194" s="363"/>
      <c r="C194" s="364">
        <v>2220100</v>
      </c>
      <c r="D194" s="365" t="s">
        <v>61</v>
      </c>
      <c r="E194" s="362">
        <f>E195+E196</f>
        <v>1200000</v>
      </c>
      <c r="F194" s="319">
        <f t="shared" ref="F194:G194" si="190">E194*1.1</f>
        <v>1320000</v>
      </c>
      <c r="G194" s="319">
        <f t="shared" si="190"/>
        <v>1452000.0000000002</v>
      </c>
      <c r="H194" s="132"/>
    </row>
    <row r="195" spans="1:8" s="290" customFormat="1" outlineLevel="2">
      <c r="A195" s="315"/>
      <c r="B195" s="361"/>
      <c r="C195" s="366">
        <v>2220101</v>
      </c>
      <c r="D195" s="367" t="s">
        <v>92</v>
      </c>
      <c r="E195" s="360">
        <v>600000</v>
      </c>
      <c r="F195" s="319">
        <f t="shared" ref="F195:G195" si="191">E195*1.1</f>
        <v>660000</v>
      </c>
      <c r="G195" s="319">
        <f t="shared" si="191"/>
        <v>726000.00000000012</v>
      </c>
      <c r="H195" s="132"/>
    </row>
    <row r="196" spans="1:8" s="290" customFormat="1" outlineLevel="2">
      <c r="A196" s="315"/>
      <c r="B196" s="361"/>
      <c r="C196" s="351">
        <v>2220105</v>
      </c>
      <c r="D196" s="352" t="s">
        <v>93</v>
      </c>
      <c r="E196" s="360">
        <v>600000</v>
      </c>
      <c r="F196" s="319">
        <f t="shared" ref="F196:G196" si="192">E196*1.1</f>
        <v>660000</v>
      </c>
      <c r="G196" s="319">
        <f t="shared" si="192"/>
        <v>726000.00000000012</v>
      </c>
      <c r="H196" s="132"/>
    </row>
    <row r="197" spans="1:8" s="290" customFormat="1" outlineLevel="2">
      <c r="A197" s="315"/>
      <c r="B197" s="363"/>
      <c r="C197" s="353">
        <v>2220200</v>
      </c>
      <c r="D197" s="354" t="s">
        <v>94</v>
      </c>
      <c r="E197" s="362">
        <f>E198</f>
        <v>500000</v>
      </c>
      <c r="F197" s="319">
        <f t="shared" ref="F197:G197" si="193">E197*1.1</f>
        <v>550000</v>
      </c>
      <c r="G197" s="319">
        <f t="shared" si="193"/>
        <v>605000</v>
      </c>
      <c r="H197" s="132"/>
    </row>
    <row r="198" spans="1:8" s="290" customFormat="1" outlineLevel="2">
      <c r="A198" s="315"/>
      <c r="B198" s="361"/>
      <c r="C198" s="351">
        <v>2220205</v>
      </c>
      <c r="D198" s="352" t="s">
        <v>95</v>
      </c>
      <c r="E198" s="360">
        <v>500000</v>
      </c>
      <c r="F198" s="319">
        <f t="shared" ref="F198:G198" si="194">E198*1.1</f>
        <v>550000</v>
      </c>
      <c r="G198" s="319">
        <f t="shared" si="194"/>
        <v>605000</v>
      </c>
      <c r="H198" s="132"/>
    </row>
    <row r="199" spans="1:8" s="290" customFormat="1" outlineLevel="2">
      <c r="A199" s="315"/>
      <c r="B199" s="363"/>
      <c r="C199" s="364">
        <v>3111000</v>
      </c>
      <c r="D199" s="365" t="s">
        <v>65</v>
      </c>
      <c r="E199" s="362">
        <f>E200+E201</f>
        <v>960000</v>
      </c>
      <c r="F199" s="319">
        <f t="shared" ref="F199:G199" si="195">E199*1.1</f>
        <v>1056000</v>
      </c>
      <c r="G199" s="319">
        <f t="shared" si="195"/>
        <v>1161600</v>
      </c>
      <c r="H199" s="132"/>
    </row>
    <row r="200" spans="1:8" s="290" customFormat="1" outlineLevel="2">
      <c r="A200" s="315"/>
      <c r="B200" s="361"/>
      <c r="C200" s="366">
        <v>3111001</v>
      </c>
      <c r="D200" s="367" t="s">
        <v>66</v>
      </c>
      <c r="E200" s="360">
        <v>400000</v>
      </c>
      <c r="F200" s="319">
        <f t="shared" ref="F200:G200" si="196">E200*1.1</f>
        <v>440000.00000000006</v>
      </c>
      <c r="G200" s="319">
        <f t="shared" si="196"/>
        <v>484000.00000000012</v>
      </c>
      <c r="H200" s="132"/>
    </row>
    <row r="201" spans="1:8" s="290" customFormat="1" outlineLevel="2">
      <c r="A201" s="315"/>
      <c r="B201" s="361"/>
      <c r="C201" s="366">
        <v>3111002</v>
      </c>
      <c r="D201" s="367" t="s">
        <v>67</v>
      </c>
      <c r="E201" s="360">
        <f>400000+160000</f>
        <v>560000</v>
      </c>
      <c r="F201" s="319">
        <f t="shared" ref="F201:G201" si="197">E201*1.1</f>
        <v>616000</v>
      </c>
      <c r="G201" s="319">
        <f t="shared" si="197"/>
        <v>677600</v>
      </c>
      <c r="H201" s="132"/>
    </row>
    <row r="202" spans="1:8" s="290" customFormat="1" outlineLevel="1">
      <c r="A202" s="315"/>
      <c r="B202" s="363"/>
      <c r="C202" s="364"/>
      <c r="D202" s="369" t="s">
        <v>101</v>
      </c>
      <c r="E202" s="362">
        <f>E199+E197+E194+E192+E188+E185+E178+E176+E172+E169+E166</f>
        <v>10680000</v>
      </c>
      <c r="F202" s="319">
        <f t="shared" ref="F202:G202" si="198">E202*1.1</f>
        <v>11748000.000000002</v>
      </c>
      <c r="G202" s="319">
        <f t="shared" si="198"/>
        <v>12922800.000000004</v>
      </c>
      <c r="H202" s="132"/>
    </row>
    <row r="203" spans="1:8" s="290" customFormat="1" outlineLevel="1">
      <c r="A203" s="315"/>
      <c r="B203" s="363"/>
      <c r="C203" s="364"/>
      <c r="D203" s="369" t="s">
        <v>80</v>
      </c>
      <c r="E203" s="362">
        <f>E202</f>
        <v>10680000</v>
      </c>
      <c r="F203" s="319">
        <f t="shared" ref="F203:G203" si="199">E203*1.1</f>
        <v>11748000.000000002</v>
      </c>
      <c r="G203" s="319">
        <f t="shared" si="199"/>
        <v>12922800.000000004</v>
      </c>
      <c r="H203" s="132"/>
    </row>
    <row r="204" spans="1:8" s="290" customFormat="1" outlineLevel="1">
      <c r="A204" s="315"/>
      <c r="B204" s="363"/>
      <c r="C204" s="364"/>
      <c r="D204" s="369"/>
      <c r="E204" s="362"/>
      <c r="F204" s="319">
        <f t="shared" ref="F204:G204" si="200">E204*1.1</f>
        <v>0</v>
      </c>
      <c r="G204" s="319">
        <f t="shared" si="200"/>
        <v>0</v>
      </c>
      <c r="H204" s="132"/>
    </row>
    <row r="205" spans="1:8" s="290" customFormat="1" outlineLevel="1">
      <c r="A205" s="315"/>
      <c r="B205" s="315"/>
      <c r="C205" s="316" t="s">
        <v>104</v>
      </c>
      <c r="D205" s="336"/>
      <c r="E205" s="344"/>
      <c r="F205" s="319">
        <f t="shared" ref="F205:G205" si="201">E205*1.1</f>
        <v>0</v>
      </c>
      <c r="G205" s="319">
        <f t="shared" si="201"/>
        <v>0</v>
      </c>
      <c r="H205" s="132"/>
    </row>
    <row r="206" spans="1:8" s="290" customFormat="1" outlineLevel="1">
      <c r="A206" s="315"/>
      <c r="B206" s="361" t="s">
        <v>98</v>
      </c>
      <c r="C206" s="358" t="s">
        <v>105</v>
      </c>
      <c r="D206" s="359"/>
      <c r="E206" s="337"/>
      <c r="F206" s="319">
        <f t="shared" ref="F206:G206" si="202">E206*1.1</f>
        <v>0</v>
      </c>
      <c r="G206" s="319">
        <f t="shared" si="202"/>
        <v>0</v>
      </c>
      <c r="H206" s="132"/>
    </row>
    <row r="207" spans="1:8" s="290" customFormat="1" outlineLevel="2">
      <c r="A207" s="315"/>
      <c r="B207" s="315"/>
      <c r="C207" s="364">
        <v>2210200</v>
      </c>
      <c r="D207" s="365" t="s">
        <v>19</v>
      </c>
      <c r="E207" s="362">
        <f>E208+E209</f>
        <v>150000</v>
      </c>
      <c r="F207" s="319">
        <f t="shared" ref="F207:G207" si="203">E207*1.1</f>
        <v>165000</v>
      </c>
      <c r="G207" s="319">
        <f t="shared" si="203"/>
        <v>181500.00000000003</v>
      </c>
      <c r="H207" s="132"/>
    </row>
    <row r="208" spans="1:8" s="290" customFormat="1" outlineLevel="2">
      <c r="A208" s="315"/>
      <c r="B208" s="315"/>
      <c r="C208" s="366">
        <v>2210201</v>
      </c>
      <c r="D208" s="367" t="s">
        <v>20</v>
      </c>
      <c r="E208" s="360">
        <v>50000</v>
      </c>
      <c r="F208" s="319">
        <f t="shared" ref="F208:G208" si="204">E208*1.1</f>
        <v>55000.000000000007</v>
      </c>
      <c r="G208" s="319">
        <f t="shared" si="204"/>
        <v>60500.000000000015</v>
      </c>
      <c r="H208" s="132"/>
    </row>
    <row r="209" spans="1:8" s="290" customFormat="1" outlineLevel="2">
      <c r="A209" s="315"/>
      <c r="B209" s="315"/>
      <c r="C209" s="366">
        <v>2210202</v>
      </c>
      <c r="D209" s="367" t="s">
        <v>21</v>
      </c>
      <c r="E209" s="360">
        <v>100000</v>
      </c>
      <c r="F209" s="319">
        <f t="shared" ref="F209:G209" si="205">E209*1.1</f>
        <v>110000.00000000001</v>
      </c>
      <c r="G209" s="319">
        <f t="shared" si="205"/>
        <v>121000.00000000003</v>
      </c>
      <c r="H209" s="132"/>
    </row>
    <row r="210" spans="1:8" s="290" customFormat="1" ht="30" outlineLevel="2">
      <c r="A210" s="315"/>
      <c r="B210" s="315"/>
      <c r="C210" s="364">
        <v>2210300</v>
      </c>
      <c r="D210" s="365" t="s">
        <v>23</v>
      </c>
      <c r="E210" s="362">
        <f>E211+E212+E213</f>
        <v>2300000</v>
      </c>
      <c r="F210" s="319">
        <f t="shared" ref="F210:G210" si="206">E210*1.1</f>
        <v>2530000</v>
      </c>
      <c r="G210" s="319">
        <f t="shared" si="206"/>
        <v>2783000</v>
      </c>
      <c r="H210" s="132"/>
    </row>
    <row r="211" spans="1:8" s="290" customFormat="1" outlineLevel="2">
      <c r="A211" s="315"/>
      <c r="B211" s="315"/>
      <c r="C211" s="366">
        <v>2210301</v>
      </c>
      <c r="D211" s="367" t="s">
        <v>24</v>
      </c>
      <c r="E211" s="360">
        <v>1300000</v>
      </c>
      <c r="F211" s="319">
        <f t="shared" ref="F211:G211" si="207">E211*1.1</f>
        <v>1430000</v>
      </c>
      <c r="G211" s="319">
        <f t="shared" si="207"/>
        <v>1573000.0000000002</v>
      </c>
      <c r="H211" s="132"/>
    </row>
    <row r="212" spans="1:8" s="290" customFormat="1" outlineLevel="2">
      <c r="A212" s="315"/>
      <c r="B212" s="315"/>
      <c r="C212" s="366">
        <v>2210302</v>
      </c>
      <c r="D212" s="367" t="s">
        <v>25</v>
      </c>
      <c r="E212" s="360">
        <v>500000</v>
      </c>
      <c r="F212" s="319">
        <f t="shared" ref="F212:G212" si="208">E212*1.1</f>
        <v>550000</v>
      </c>
      <c r="G212" s="319">
        <f t="shared" si="208"/>
        <v>605000</v>
      </c>
      <c r="H212" s="132"/>
    </row>
    <row r="213" spans="1:8" s="290" customFormat="1" outlineLevel="2">
      <c r="A213" s="315"/>
      <c r="B213" s="315"/>
      <c r="C213" s="366">
        <v>2210303</v>
      </c>
      <c r="D213" s="367" t="s">
        <v>26</v>
      </c>
      <c r="E213" s="360">
        <v>500000</v>
      </c>
      <c r="F213" s="319">
        <f t="shared" ref="F213:G213" si="209">E213*1.1</f>
        <v>550000</v>
      </c>
      <c r="G213" s="319">
        <f t="shared" si="209"/>
        <v>605000</v>
      </c>
      <c r="H213" s="132"/>
    </row>
    <row r="214" spans="1:8" s="290" customFormat="1" outlineLevel="2">
      <c r="A214" s="315"/>
      <c r="B214" s="315"/>
      <c r="C214" s="364">
        <v>2210500</v>
      </c>
      <c r="D214" s="365" t="s">
        <v>30</v>
      </c>
      <c r="E214" s="362">
        <f>E215</f>
        <v>100000</v>
      </c>
      <c r="F214" s="319">
        <f t="shared" ref="F214:G214" si="210">E214*1.1</f>
        <v>110000.00000000001</v>
      </c>
      <c r="G214" s="319">
        <f t="shared" si="210"/>
        <v>121000.00000000003</v>
      </c>
      <c r="H214" s="132"/>
    </row>
    <row r="215" spans="1:8" s="290" customFormat="1" outlineLevel="2">
      <c r="A215" s="315"/>
      <c r="B215" s="315"/>
      <c r="C215" s="366">
        <v>2210503</v>
      </c>
      <c r="D215" s="367" t="s">
        <v>31</v>
      </c>
      <c r="E215" s="360">
        <v>100000</v>
      </c>
      <c r="F215" s="319">
        <f t="shared" ref="F215:G215" si="211">E215*1.1</f>
        <v>110000.00000000001</v>
      </c>
      <c r="G215" s="319">
        <f t="shared" si="211"/>
        <v>121000.00000000003</v>
      </c>
      <c r="H215" s="132"/>
    </row>
    <row r="216" spans="1:8" s="290" customFormat="1" outlineLevel="2">
      <c r="A216" s="315"/>
      <c r="B216" s="315"/>
      <c r="C216" s="364">
        <v>2210700</v>
      </c>
      <c r="D216" s="365" t="s">
        <v>34</v>
      </c>
      <c r="E216" s="362">
        <f>E217+E218+E219+E220+E221+E222</f>
        <v>1300000</v>
      </c>
      <c r="F216" s="319">
        <f t="shared" ref="F216:G216" si="212">E216*1.1</f>
        <v>1430000</v>
      </c>
      <c r="G216" s="319">
        <f t="shared" si="212"/>
        <v>1573000.0000000002</v>
      </c>
      <c r="H216" s="132"/>
    </row>
    <row r="217" spans="1:8" s="290" customFormat="1" outlineLevel="2">
      <c r="A217" s="315"/>
      <c r="B217" s="315"/>
      <c r="C217" s="366">
        <v>2210701</v>
      </c>
      <c r="D217" s="367" t="s">
        <v>35</v>
      </c>
      <c r="E217" s="360">
        <v>300000</v>
      </c>
      <c r="F217" s="319">
        <f t="shared" ref="F217:G217" si="213">E217*1.1</f>
        <v>330000</v>
      </c>
      <c r="G217" s="319">
        <f t="shared" si="213"/>
        <v>363000.00000000006</v>
      </c>
      <c r="H217" s="132"/>
    </row>
    <row r="218" spans="1:8" s="290" customFormat="1" outlineLevel="2">
      <c r="A218" s="315"/>
      <c r="B218" s="315"/>
      <c r="C218" s="366">
        <v>2210702</v>
      </c>
      <c r="D218" s="367" t="s">
        <v>83</v>
      </c>
      <c r="E218" s="360">
        <v>300000</v>
      </c>
      <c r="F218" s="319">
        <f t="shared" ref="F218:G218" si="214">E218*1.1</f>
        <v>330000</v>
      </c>
      <c r="G218" s="319">
        <f t="shared" si="214"/>
        <v>363000.00000000006</v>
      </c>
      <c r="H218" s="132"/>
    </row>
    <row r="219" spans="1:8" s="290" customFormat="1" outlineLevel="2">
      <c r="A219" s="315"/>
      <c r="B219" s="315"/>
      <c r="C219" s="366">
        <v>2210704</v>
      </c>
      <c r="D219" s="367" t="s">
        <v>37</v>
      </c>
      <c r="E219" s="360">
        <v>200000</v>
      </c>
      <c r="F219" s="319">
        <f t="shared" ref="F219:G219" si="215">E219*1.1</f>
        <v>220000.00000000003</v>
      </c>
      <c r="G219" s="319">
        <f t="shared" si="215"/>
        <v>242000.00000000006</v>
      </c>
      <c r="H219" s="132"/>
    </row>
    <row r="220" spans="1:8" s="290" customFormat="1" outlineLevel="2">
      <c r="A220" s="315"/>
      <c r="B220" s="315"/>
      <c r="C220" s="366">
        <v>2210710</v>
      </c>
      <c r="D220" s="367" t="s">
        <v>38</v>
      </c>
      <c r="E220" s="360">
        <v>200000</v>
      </c>
      <c r="F220" s="319">
        <f t="shared" ref="F220:G220" si="216">E220*1.1</f>
        <v>220000.00000000003</v>
      </c>
      <c r="G220" s="319">
        <f t="shared" si="216"/>
        <v>242000.00000000006</v>
      </c>
      <c r="H220" s="132"/>
    </row>
    <row r="221" spans="1:8" s="290" customFormat="1" outlineLevel="2">
      <c r="A221" s="315"/>
      <c r="B221" s="315"/>
      <c r="C221" s="366">
        <v>2210715</v>
      </c>
      <c r="D221" s="367" t="s">
        <v>39</v>
      </c>
      <c r="E221" s="360">
        <v>300000</v>
      </c>
      <c r="F221" s="319">
        <f t="shared" ref="F221:G221" si="217">E221*1.1</f>
        <v>330000</v>
      </c>
      <c r="G221" s="319">
        <f t="shared" si="217"/>
        <v>363000.00000000006</v>
      </c>
      <c r="H221" s="132"/>
    </row>
    <row r="222" spans="1:8" s="290" customFormat="1" outlineLevel="2">
      <c r="A222" s="315"/>
      <c r="B222" s="315"/>
      <c r="C222" s="366">
        <v>2210799</v>
      </c>
      <c r="D222" s="367" t="s">
        <v>100</v>
      </c>
      <c r="E222" s="360">
        <v>0</v>
      </c>
      <c r="F222" s="319">
        <f t="shared" ref="F222:G222" si="218">E222*1.1</f>
        <v>0</v>
      </c>
      <c r="G222" s="319">
        <f t="shared" si="218"/>
        <v>0</v>
      </c>
      <c r="H222" s="132"/>
    </row>
    <row r="223" spans="1:8" s="290" customFormat="1" outlineLevel="2">
      <c r="A223" s="315"/>
      <c r="B223" s="315"/>
      <c r="C223" s="364">
        <v>2210800</v>
      </c>
      <c r="D223" s="365" t="s">
        <v>41</v>
      </c>
      <c r="E223" s="362">
        <f>E224+E225</f>
        <v>2500000</v>
      </c>
      <c r="F223" s="319">
        <f t="shared" ref="F223:G223" si="219">E223*1.1</f>
        <v>2750000</v>
      </c>
      <c r="G223" s="319">
        <f t="shared" si="219"/>
        <v>3025000.0000000005</v>
      </c>
      <c r="H223" s="132"/>
    </row>
    <row r="224" spans="1:8" s="290" customFormat="1" ht="30" outlineLevel="2">
      <c r="A224" s="315"/>
      <c r="B224" s="315"/>
      <c r="C224" s="366">
        <v>2210801</v>
      </c>
      <c r="D224" s="367" t="s">
        <v>85</v>
      </c>
      <c r="E224" s="360">
        <v>1700000</v>
      </c>
      <c r="F224" s="319">
        <f t="shared" ref="F224:G224" si="220">E224*1.1</f>
        <v>1870000.0000000002</v>
      </c>
      <c r="G224" s="319">
        <f t="shared" si="220"/>
        <v>2057000.0000000005</v>
      </c>
      <c r="H224" s="132"/>
    </row>
    <row r="225" spans="1:8" s="290" customFormat="1" outlineLevel="2">
      <c r="A225" s="315"/>
      <c r="B225" s="315"/>
      <c r="C225" s="366">
        <v>2210802</v>
      </c>
      <c r="D225" s="367" t="s">
        <v>86</v>
      </c>
      <c r="E225" s="360">
        <v>800000</v>
      </c>
      <c r="F225" s="319">
        <f t="shared" ref="F225:G225" si="221">E225*1.1</f>
        <v>880000.00000000012</v>
      </c>
      <c r="G225" s="319">
        <f t="shared" si="221"/>
        <v>968000.00000000023</v>
      </c>
      <c r="H225" s="132"/>
    </row>
    <row r="226" spans="1:8" s="290" customFormat="1" outlineLevel="2">
      <c r="A226" s="315"/>
      <c r="B226" s="315"/>
      <c r="C226" s="364">
        <v>2211100</v>
      </c>
      <c r="D226" s="365" t="s">
        <v>49</v>
      </c>
      <c r="E226" s="362">
        <f>E227+E228+E229</f>
        <v>1100000</v>
      </c>
      <c r="F226" s="319">
        <f t="shared" ref="F226:G226" si="222">E226*1.1</f>
        <v>1210000</v>
      </c>
      <c r="G226" s="319">
        <f t="shared" si="222"/>
        <v>1331000</v>
      </c>
      <c r="H226" s="132"/>
    </row>
    <row r="227" spans="1:8" s="290" customFormat="1" ht="30" outlineLevel="2">
      <c r="A227" s="315"/>
      <c r="B227" s="315"/>
      <c r="C227" s="366">
        <v>2211101</v>
      </c>
      <c r="D227" s="367" t="s">
        <v>87</v>
      </c>
      <c r="E227" s="360">
        <v>500000</v>
      </c>
      <c r="F227" s="319">
        <f t="shared" ref="F227:G227" si="223">E227*1.1</f>
        <v>550000</v>
      </c>
      <c r="G227" s="319">
        <f t="shared" si="223"/>
        <v>605000</v>
      </c>
      <c r="H227" s="132"/>
    </row>
    <row r="228" spans="1:8" s="290" customFormat="1" outlineLevel="2">
      <c r="A228" s="315"/>
      <c r="B228" s="315"/>
      <c r="C228" s="366">
        <v>2211102</v>
      </c>
      <c r="D228" s="367" t="s">
        <v>51</v>
      </c>
      <c r="E228" s="360">
        <v>500000</v>
      </c>
      <c r="F228" s="319">
        <f t="shared" ref="F228:G228" si="224">E228*1.1</f>
        <v>550000</v>
      </c>
      <c r="G228" s="319">
        <f t="shared" si="224"/>
        <v>605000</v>
      </c>
      <c r="H228" s="132"/>
    </row>
    <row r="229" spans="1:8" s="290" customFormat="1" outlineLevel="2">
      <c r="A229" s="315"/>
      <c r="B229" s="315"/>
      <c r="C229" s="366">
        <v>2211103</v>
      </c>
      <c r="D229" s="367" t="s">
        <v>52</v>
      </c>
      <c r="E229" s="360">
        <v>100000</v>
      </c>
      <c r="F229" s="319">
        <f t="shared" ref="F229:G229" si="225">E229*1.1</f>
        <v>110000.00000000001</v>
      </c>
      <c r="G229" s="319">
        <f t="shared" si="225"/>
        <v>121000.00000000003</v>
      </c>
      <c r="H229" s="132"/>
    </row>
    <row r="230" spans="1:8" s="290" customFormat="1" outlineLevel="2">
      <c r="A230" s="315"/>
      <c r="B230" s="315"/>
      <c r="C230" s="364">
        <v>2211200</v>
      </c>
      <c r="D230" s="365" t="s">
        <v>53</v>
      </c>
      <c r="E230" s="362">
        <f>E231</f>
        <v>1830000</v>
      </c>
      <c r="F230" s="319">
        <f t="shared" ref="F230:G230" si="226">E230*1.1</f>
        <v>2013000.0000000002</v>
      </c>
      <c r="G230" s="319">
        <f t="shared" si="226"/>
        <v>2214300.0000000005</v>
      </c>
      <c r="H230" s="132"/>
    </row>
    <row r="231" spans="1:8" s="290" customFormat="1" outlineLevel="2">
      <c r="A231" s="315"/>
      <c r="B231" s="315"/>
      <c r="C231" s="366">
        <v>2211201</v>
      </c>
      <c r="D231" s="367" t="s">
        <v>91</v>
      </c>
      <c r="E231" s="360">
        <f>200000+350000+1000000+280000</f>
        <v>1830000</v>
      </c>
      <c r="F231" s="319">
        <f t="shared" ref="F231:G231" si="227">E231*1.1</f>
        <v>2013000.0000000002</v>
      </c>
      <c r="G231" s="319">
        <f t="shared" si="227"/>
        <v>2214300.0000000005</v>
      </c>
      <c r="H231" s="132"/>
    </row>
    <row r="232" spans="1:8" s="290" customFormat="1" ht="30" outlineLevel="2">
      <c r="A232" s="315"/>
      <c r="B232" s="315"/>
      <c r="C232" s="364">
        <v>2220100</v>
      </c>
      <c r="D232" s="365" t="s">
        <v>61</v>
      </c>
      <c r="E232" s="362">
        <f>E233+E235+E234</f>
        <v>700000</v>
      </c>
      <c r="F232" s="319">
        <f t="shared" ref="F232:G232" si="228">E232*1.1</f>
        <v>770000.00000000012</v>
      </c>
      <c r="G232" s="319">
        <f t="shared" si="228"/>
        <v>847000.00000000023</v>
      </c>
      <c r="H232" s="132"/>
    </row>
    <row r="233" spans="1:8" s="290" customFormat="1" outlineLevel="2">
      <c r="A233" s="315"/>
      <c r="B233" s="315"/>
      <c r="C233" s="366">
        <v>2220101</v>
      </c>
      <c r="D233" s="367" t="s">
        <v>92</v>
      </c>
      <c r="E233" s="360">
        <v>100000</v>
      </c>
      <c r="F233" s="319">
        <f t="shared" ref="F233:G233" si="229">E233*1.1</f>
        <v>110000.00000000001</v>
      </c>
      <c r="G233" s="319">
        <f t="shared" si="229"/>
        <v>121000.00000000003</v>
      </c>
      <c r="H233" s="132"/>
    </row>
    <row r="234" spans="1:8" s="290" customFormat="1" outlineLevel="2">
      <c r="A234" s="315"/>
      <c r="B234" s="315"/>
      <c r="C234" s="366">
        <v>2220102</v>
      </c>
      <c r="D234" s="367" t="s">
        <v>63</v>
      </c>
      <c r="E234" s="360">
        <v>500000</v>
      </c>
      <c r="F234" s="319">
        <f t="shared" ref="F234:G234" si="230">E234*1.1</f>
        <v>550000</v>
      </c>
      <c r="G234" s="319">
        <f t="shared" si="230"/>
        <v>605000</v>
      </c>
      <c r="H234" s="132"/>
    </row>
    <row r="235" spans="1:8" s="290" customFormat="1" outlineLevel="2">
      <c r="A235" s="315"/>
      <c r="B235" s="315"/>
      <c r="C235" s="351">
        <v>2220105</v>
      </c>
      <c r="D235" s="352" t="s">
        <v>93</v>
      </c>
      <c r="E235" s="360">
        <v>100000</v>
      </c>
      <c r="F235" s="319">
        <f t="shared" ref="F235:G235" si="231">E235*1.1</f>
        <v>110000.00000000001</v>
      </c>
      <c r="G235" s="319">
        <f t="shared" si="231"/>
        <v>121000.00000000003</v>
      </c>
      <c r="H235" s="132"/>
    </row>
    <row r="236" spans="1:8" s="290" customFormat="1" outlineLevel="2">
      <c r="A236" s="315"/>
      <c r="B236" s="315"/>
      <c r="C236" s="364">
        <v>3111000</v>
      </c>
      <c r="D236" s="365" t="s">
        <v>65</v>
      </c>
      <c r="E236" s="362">
        <f>E237</f>
        <v>2500000</v>
      </c>
      <c r="F236" s="319">
        <f t="shared" ref="F236:G236" si="232">E236*1.1</f>
        <v>2750000</v>
      </c>
      <c r="G236" s="319">
        <f t="shared" si="232"/>
        <v>3025000.0000000005</v>
      </c>
      <c r="H236" s="132"/>
    </row>
    <row r="237" spans="1:8" s="290" customFormat="1" ht="30" outlineLevel="2">
      <c r="A237" s="315"/>
      <c r="B237" s="315"/>
      <c r="C237" s="370">
        <v>3111111</v>
      </c>
      <c r="D237" s="371" t="s">
        <v>106</v>
      </c>
      <c r="E237" s="360">
        <v>2500000</v>
      </c>
      <c r="F237" s="319">
        <f t="shared" ref="F237:G237" si="233">E237*1.1</f>
        <v>2750000</v>
      </c>
      <c r="G237" s="319">
        <f t="shared" si="233"/>
        <v>3025000.0000000005</v>
      </c>
      <c r="H237" s="132"/>
    </row>
    <row r="238" spans="1:8" s="290" customFormat="1" outlineLevel="1">
      <c r="A238" s="315"/>
      <c r="B238" s="315"/>
      <c r="C238" s="364"/>
      <c r="D238" s="369" t="s">
        <v>101</v>
      </c>
      <c r="E238" s="362">
        <f>E236+E232+E230+E226+E223+E216+E214+E210+E207</f>
        <v>12480000</v>
      </c>
      <c r="F238" s="319">
        <f t="shared" ref="F238:G238" si="234">E238*1.1</f>
        <v>13728000.000000002</v>
      </c>
      <c r="G238" s="319">
        <f t="shared" si="234"/>
        <v>15100800.000000004</v>
      </c>
      <c r="H238" s="132"/>
    </row>
    <row r="239" spans="1:8" s="290" customFormat="1" outlineLevel="1">
      <c r="A239" s="315"/>
      <c r="B239" s="315"/>
      <c r="C239" s="364"/>
      <c r="D239" s="369" t="s">
        <v>80</v>
      </c>
      <c r="E239" s="362">
        <f>E238</f>
        <v>12480000</v>
      </c>
      <c r="F239" s="319">
        <f t="shared" ref="F239:G239" si="235">E239*1.1</f>
        <v>13728000.000000002</v>
      </c>
      <c r="G239" s="319">
        <f t="shared" si="235"/>
        <v>15100800.000000004</v>
      </c>
      <c r="H239" s="132"/>
    </row>
    <row r="240" spans="1:8" s="290" customFormat="1" outlineLevel="1">
      <c r="A240" s="315"/>
      <c r="B240" s="315"/>
      <c r="C240" s="372"/>
      <c r="D240" s="373" t="s">
        <v>107</v>
      </c>
      <c r="E240" s="374">
        <f>E238+E161+E122+E67+E202</f>
        <v>1108773722</v>
      </c>
      <c r="F240" s="319">
        <f t="shared" ref="F240:G240" si="236">E240*1.1</f>
        <v>1219651094.2</v>
      </c>
      <c r="G240" s="319">
        <f t="shared" si="236"/>
        <v>1341616203.6200001</v>
      </c>
      <c r="H240" s="132"/>
    </row>
    <row r="241" spans="1:8" s="290" customFormat="1" outlineLevel="1">
      <c r="A241" s="315"/>
      <c r="B241" s="315"/>
      <c r="C241" s="372"/>
      <c r="D241" s="373" t="s">
        <v>108</v>
      </c>
      <c r="E241" s="374">
        <f>E77</f>
        <v>899500000</v>
      </c>
      <c r="F241" s="319">
        <f t="shared" ref="F241:G241" si="237">E241*1.1</f>
        <v>989450000.00000012</v>
      </c>
      <c r="G241" s="319">
        <f t="shared" si="237"/>
        <v>1088395000.0000002</v>
      </c>
      <c r="H241" s="132"/>
    </row>
    <row r="242" spans="1:8" s="290" customFormat="1" ht="30" outlineLevel="1">
      <c r="A242" s="375"/>
      <c r="B242" s="375"/>
      <c r="C242" s="316"/>
      <c r="D242" s="369" t="s">
        <v>109</v>
      </c>
      <c r="E242" s="337">
        <f>E240+E241</f>
        <v>2008273722</v>
      </c>
      <c r="F242" s="319">
        <f t="shared" ref="F242:G242" si="238">E242*1.1</f>
        <v>2209101094.2000003</v>
      </c>
      <c r="G242" s="319">
        <f t="shared" si="238"/>
        <v>2430011203.6200004</v>
      </c>
      <c r="H242" s="132"/>
    </row>
    <row r="243" spans="1:8" s="290" customFormat="1" outlineLevel="1">
      <c r="A243" s="375"/>
      <c r="B243" s="375"/>
      <c r="C243" s="316"/>
      <c r="D243" s="369"/>
      <c r="E243" s="337"/>
      <c r="F243" s="319">
        <f t="shared" ref="F243:G243" si="239">E243*1.1</f>
        <v>0</v>
      </c>
      <c r="G243" s="319">
        <f t="shared" si="239"/>
        <v>0</v>
      </c>
      <c r="H243" s="132"/>
    </row>
    <row r="244" spans="1:8" s="290" customFormat="1" outlineLevel="1">
      <c r="A244" s="375"/>
      <c r="B244" s="375"/>
      <c r="C244" s="316" t="s">
        <v>110</v>
      </c>
      <c r="D244" s="336"/>
      <c r="E244" s="327"/>
      <c r="F244" s="319">
        <f t="shared" ref="F244:G244" si="240">E244*1.1</f>
        <v>0</v>
      </c>
      <c r="G244" s="319">
        <f t="shared" si="240"/>
        <v>0</v>
      </c>
      <c r="H244" s="132"/>
    </row>
    <row r="245" spans="1:8" s="290" customFormat="1" outlineLevel="1">
      <c r="A245" s="375"/>
      <c r="B245" s="375"/>
      <c r="C245" s="316" t="s">
        <v>111</v>
      </c>
      <c r="D245" s="336"/>
      <c r="E245" s="323"/>
      <c r="F245" s="319">
        <f t="shared" ref="F245:G245" si="241">E245*1.1</f>
        <v>0</v>
      </c>
      <c r="G245" s="319">
        <f t="shared" si="241"/>
        <v>0</v>
      </c>
      <c r="H245" s="132"/>
    </row>
    <row r="246" spans="1:8" s="290" customFormat="1" outlineLevel="2">
      <c r="A246" s="375"/>
      <c r="B246" s="375"/>
      <c r="C246" s="329">
        <v>2210200</v>
      </c>
      <c r="D246" s="333" t="s">
        <v>19</v>
      </c>
      <c r="E246" s="323">
        <f>E247+E248</f>
        <v>360000</v>
      </c>
      <c r="F246" s="319">
        <f t="shared" ref="F246:G246" si="242">E246*1.1</f>
        <v>396000.00000000006</v>
      </c>
      <c r="G246" s="319">
        <f t="shared" si="242"/>
        <v>435600.00000000012</v>
      </c>
      <c r="H246" s="132"/>
    </row>
    <row r="247" spans="1:8" s="290" customFormat="1" outlineLevel="2">
      <c r="A247" s="375"/>
      <c r="B247" s="375"/>
      <c r="C247" s="325">
        <v>2210201</v>
      </c>
      <c r="D247" s="332" t="s">
        <v>20</v>
      </c>
      <c r="E247" s="331">
        <f>30000*12-100000</f>
        <v>260000</v>
      </c>
      <c r="F247" s="319">
        <f t="shared" ref="F247:G247" si="243">E247*1.1</f>
        <v>286000</v>
      </c>
      <c r="G247" s="319">
        <f t="shared" si="243"/>
        <v>314600</v>
      </c>
      <c r="H247" s="132"/>
    </row>
    <row r="248" spans="1:8" s="290" customFormat="1" outlineLevel="2">
      <c r="A248" s="375"/>
      <c r="B248" s="375"/>
      <c r="C248" s="325">
        <v>2210202</v>
      </c>
      <c r="D248" s="332" t="s">
        <v>21</v>
      </c>
      <c r="E248" s="331">
        <v>100000</v>
      </c>
      <c r="F248" s="319">
        <f t="shared" ref="F248:G248" si="244">E248*1.1</f>
        <v>110000.00000000001</v>
      </c>
      <c r="G248" s="319">
        <f t="shared" si="244"/>
        <v>121000.00000000003</v>
      </c>
      <c r="H248" s="132"/>
    </row>
    <row r="249" spans="1:8" s="290" customFormat="1" ht="30" outlineLevel="2">
      <c r="A249" s="375"/>
      <c r="B249" s="375"/>
      <c r="C249" s="329">
        <v>2210300</v>
      </c>
      <c r="D249" s="333" t="s">
        <v>23</v>
      </c>
      <c r="E249" s="323">
        <f>E250+E251+E252</f>
        <v>2616000</v>
      </c>
      <c r="F249" s="319">
        <f t="shared" ref="F249:G249" si="245">E249*1.1</f>
        <v>2877600</v>
      </c>
      <c r="G249" s="319">
        <f t="shared" si="245"/>
        <v>3165360.0000000005</v>
      </c>
      <c r="H249" s="132"/>
    </row>
    <row r="250" spans="1:8" s="290" customFormat="1" outlineLevel="2">
      <c r="A250" s="375"/>
      <c r="B250" s="375"/>
      <c r="C250" s="325">
        <v>2210301</v>
      </c>
      <c r="D250" s="332" t="s">
        <v>24</v>
      </c>
      <c r="E250" s="331">
        <v>800000</v>
      </c>
      <c r="F250" s="319">
        <f t="shared" ref="F250:G250" si="246">E250*1.1</f>
        <v>880000.00000000012</v>
      </c>
      <c r="G250" s="319">
        <f t="shared" si="246"/>
        <v>968000.00000000023</v>
      </c>
      <c r="H250" s="132"/>
    </row>
    <row r="251" spans="1:8" s="290" customFormat="1" outlineLevel="2">
      <c r="A251" s="375"/>
      <c r="B251" s="375"/>
      <c r="C251" s="325">
        <v>2210302</v>
      </c>
      <c r="D251" s="332" t="s">
        <v>25</v>
      </c>
      <c r="E251" s="331">
        <f>406000+1000000-800000</f>
        <v>606000</v>
      </c>
      <c r="F251" s="319">
        <f t="shared" ref="F251:G251" si="247">E251*1.1</f>
        <v>666600</v>
      </c>
      <c r="G251" s="319">
        <f t="shared" si="247"/>
        <v>733260.00000000012</v>
      </c>
      <c r="H251" s="132"/>
    </row>
    <row r="252" spans="1:8" s="290" customFormat="1" outlineLevel="2">
      <c r="A252" s="375"/>
      <c r="B252" s="375"/>
      <c r="C252" s="325">
        <v>2210303</v>
      </c>
      <c r="D252" s="332" t="s">
        <v>26</v>
      </c>
      <c r="E252" s="331">
        <f>348000+372000+490000</f>
        <v>1210000</v>
      </c>
      <c r="F252" s="319">
        <f t="shared" ref="F252:G252" si="248">E252*1.1</f>
        <v>1331000</v>
      </c>
      <c r="G252" s="319">
        <f t="shared" si="248"/>
        <v>1464100.0000000002</v>
      </c>
      <c r="H252" s="132"/>
    </row>
    <row r="253" spans="1:8" s="290" customFormat="1" outlineLevel="2">
      <c r="A253" s="375"/>
      <c r="B253" s="375"/>
      <c r="C253" s="329">
        <v>2210400</v>
      </c>
      <c r="D253" s="333" t="s">
        <v>28</v>
      </c>
      <c r="E253" s="323">
        <f>E254+E255+E256</f>
        <v>740000</v>
      </c>
      <c r="F253" s="319">
        <f t="shared" ref="F253:G253" si="249">E253*1.1</f>
        <v>814000.00000000012</v>
      </c>
      <c r="G253" s="319">
        <f t="shared" si="249"/>
        <v>895400.00000000023</v>
      </c>
      <c r="H253" s="132"/>
    </row>
    <row r="254" spans="1:8" s="290" customFormat="1" outlineLevel="2">
      <c r="A254" s="375"/>
      <c r="B254" s="375"/>
      <c r="C254" s="325">
        <v>2210401</v>
      </c>
      <c r="D254" s="332" t="s">
        <v>24</v>
      </c>
      <c r="E254" s="331">
        <f>580000-300000</f>
        <v>280000</v>
      </c>
      <c r="F254" s="319">
        <f t="shared" ref="F254:G254" si="250">E254*1.1</f>
        <v>308000</v>
      </c>
      <c r="G254" s="319">
        <f t="shared" si="250"/>
        <v>338800</v>
      </c>
      <c r="H254" s="132"/>
    </row>
    <row r="255" spans="1:8" s="290" customFormat="1" outlineLevel="2">
      <c r="A255" s="375"/>
      <c r="B255" s="375"/>
      <c r="C255" s="325">
        <v>2210402</v>
      </c>
      <c r="D255" s="332" t="s">
        <v>29</v>
      </c>
      <c r="E255" s="331">
        <f>870000-500000</f>
        <v>370000</v>
      </c>
      <c r="F255" s="319">
        <f t="shared" ref="F255:G255" si="251">E255*1.1</f>
        <v>407000.00000000006</v>
      </c>
      <c r="G255" s="319">
        <f t="shared" si="251"/>
        <v>447700.00000000012</v>
      </c>
      <c r="H255" s="132"/>
    </row>
    <row r="256" spans="1:8" s="290" customFormat="1" outlineLevel="2">
      <c r="A256" s="375"/>
      <c r="B256" s="375"/>
      <c r="C256" s="325">
        <v>2210404</v>
      </c>
      <c r="D256" s="332" t="s">
        <v>27</v>
      </c>
      <c r="E256" s="331">
        <f>290000-200000</f>
        <v>90000</v>
      </c>
      <c r="F256" s="319">
        <f t="shared" ref="F256:G256" si="252">E256*1.1</f>
        <v>99000.000000000015</v>
      </c>
      <c r="G256" s="319">
        <f t="shared" si="252"/>
        <v>108900.00000000003</v>
      </c>
      <c r="H256" s="132"/>
    </row>
    <row r="257" spans="1:8" s="291" customFormat="1" outlineLevel="2">
      <c r="A257" s="375"/>
      <c r="B257" s="375"/>
      <c r="C257" s="329">
        <v>2210500</v>
      </c>
      <c r="D257" s="333" t="s">
        <v>30</v>
      </c>
      <c r="E257" s="356">
        <f>SUM(E258:E260)</f>
        <v>1350000</v>
      </c>
      <c r="F257" s="319">
        <f t="shared" ref="F257:G257" si="253">E257*1.1</f>
        <v>1485000.0000000002</v>
      </c>
      <c r="G257" s="319">
        <f t="shared" si="253"/>
        <v>1633500.0000000005</v>
      </c>
      <c r="H257" s="132"/>
    </row>
    <row r="258" spans="1:8" s="290" customFormat="1" outlineLevel="2">
      <c r="A258" s="375"/>
      <c r="B258" s="375"/>
      <c r="C258" s="325">
        <v>2210503</v>
      </c>
      <c r="D258" s="332" t="s">
        <v>31</v>
      </c>
      <c r="E258" s="331">
        <v>200000</v>
      </c>
      <c r="F258" s="319">
        <f t="shared" ref="F258:G258" si="254">E258*1.1</f>
        <v>220000.00000000003</v>
      </c>
      <c r="G258" s="319">
        <f t="shared" si="254"/>
        <v>242000.00000000006</v>
      </c>
      <c r="H258" s="132"/>
    </row>
    <row r="259" spans="1:8" s="290" customFormat="1" outlineLevel="2">
      <c r="A259" s="375"/>
      <c r="B259" s="375"/>
      <c r="C259" s="325">
        <v>2210504</v>
      </c>
      <c r="D259" s="332" t="s">
        <v>32</v>
      </c>
      <c r="E259" s="331">
        <v>500000</v>
      </c>
      <c r="F259" s="319">
        <f t="shared" ref="F259:G259" si="255">E259*1.1</f>
        <v>550000</v>
      </c>
      <c r="G259" s="319">
        <f t="shared" si="255"/>
        <v>605000</v>
      </c>
      <c r="H259" s="132"/>
    </row>
    <row r="260" spans="1:8" s="290" customFormat="1" outlineLevel="2">
      <c r="A260" s="375"/>
      <c r="B260" s="375"/>
      <c r="C260" s="325">
        <v>2210599</v>
      </c>
      <c r="D260" s="332" t="s">
        <v>33</v>
      </c>
      <c r="E260" s="331">
        <v>650000</v>
      </c>
      <c r="F260" s="319">
        <f t="shared" ref="F260:G260" si="256">E260*1.1</f>
        <v>715000</v>
      </c>
      <c r="G260" s="319">
        <f t="shared" si="256"/>
        <v>786500.00000000012</v>
      </c>
      <c r="H260" s="132"/>
    </row>
    <row r="261" spans="1:8" s="290" customFormat="1" outlineLevel="2">
      <c r="A261" s="375"/>
      <c r="B261" s="375"/>
      <c r="C261" s="329">
        <v>2210700</v>
      </c>
      <c r="D261" s="333" t="s">
        <v>34</v>
      </c>
      <c r="E261" s="323">
        <f>SUM(E262:E267)</f>
        <v>1424000</v>
      </c>
      <c r="F261" s="319">
        <f t="shared" ref="F261:G261" si="257">E261*1.1</f>
        <v>1566400.0000000002</v>
      </c>
      <c r="G261" s="319">
        <f t="shared" si="257"/>
        <v>1723040.0000000005</v>
      </c>
      <c r="H261" s="132"/>
    </row>
    <row r="262" spans="1:8" s="290" customFormat="1" outlineLevel="2">
      <c r="A262" s="375"/>
      <c r="B262" s="375"/>
      <c r="C262" s="325">
        <v>2210701</v>
      </c>
      <c r="D262" s="332" t="s">
        <v>35</v>
      </c>
      <c r="E262" s="327">
        <v>300000</v>
      </c>
      <c r="F262" s="319">
        <f t="shared" ref="F262:G262" si="258">E262*1.1</f>
        <v>330000</v>
      </c>
      <c r="G262" s="319">
        <f t="shared" si="258"/>
        <v>363000.00000000006</v>
      </c>
      <c r="H262" s="132"/>
    </row>
    <row r="263" spans="1:8" s="290" customFormat="1" outlineLevel="2">
      <c r="A263" s="375"/>
      <c r="B263" s="375"/>
      <c r="C263" s="325">
        <v>2210702</v>
      </c>
      <c r="D263" s="332" t="s">
        <v>83</v>
      </c>
      <c r="E263" s="327">
        <v>200000</v>
      </c>
      <c r="F263" s="319">
        <f t="shared" ref="F263:G263" si="259">E263*1.1</f>
        <v>220000.00000000003</v>
      </c>
      <c r="G263" s="319">
        <f t="shared" si="259"/>
        <v>242000.00000000006</v>
      </c>
      <c r="H263" s="132"/>
    </row>
    <row r="264" spans="1:8" s="290" customFormat="1" outlineLevel="2">
      <c r="A264" s="375"/>
      <c r="B264" s="375"/>
      <c r="C264" s="325">
        <v>2210704</v>
      </c>
      <c r="D264" s="332" t="s">
        <v>37</v>
      </c>
      <c r="E264" s="327">
        <v>300000</v>
      </c>
      <c r="F264" s="319">
        <f t="shared" ref="F264:G264" si="260">E264*1.1</f>
        <v>330000</v>
      </c>
      <c r="G264" s="319">
        <f t="shared" si="260"/>
        <v>363000.00000000006</v>
      </c>
      <c r="H264" s="132"/>
    </row>
    <row r="265" spans="1:8" s="290" customFormat="1" outlineLevel="2">
      <c r="A265" s="375"/>
      <c r="B265" s="375"/>
      <c r="C265" s="325">
        <v>2210710</v>
      </c>
      <c r="D265" s="332" t="s">
        <v>38</v>
      </c>
      <c r="E265" s="327">
        <v>200000</v>
      </c>
      <c r="F265" s="319">
        <f t="shared" ref="F265:G265" si="261">E265*1.1</f>
        <v>220000.00000000003</v>
      </c>
      <c r="G265" s="319">
        <f t="shared" si="261"/>
        <v>242000.00000000006</v>
      </c>
      <c r="H265" s="132"/>
    </row>
    <row r="266" spans="1:8" s="290" customFormat="1" outlineLevel="2">
      <c r="A266" s="375"/>
      <c r="B266" s="375"/>
      <c r="C266" s="325">
        <v>2210715</v>
      </c>
      <c r="D266" s="332" t="s">
        <v>39</v>
      </c>
      <c r="E266" s="327">
        <f>524000-100000</f>
        <v>424000</v>
      </c>
      <c r="F266" s="319">
        <f t="shared" ref="F266:G266" si="262">E266*1.1</f>
        <v>466400.00000000006</v>
      </c>
      <c r="G266" s="319">
        <f t="shared" si="262"/>
        <v>513040.00000000012</v>
      </c>
      <c r="H266" s="132"/>
    </row>
    <row r="267" spans="1:8" s="290" customFormat="1" outlineLevel="2">
      <c r="A267" s="375"/>
      <c r="B267" s="375"/>
      <c r="C267" s="325">
        <v>2210799</v>
      </c>
      <c r="D267" s="332" t="s">
        <v>100</v>
      </c>
      <c r="E267" s="331">
        <v>0</v>
      </c>
      <c r="F267" s="319">
        <f t="shared" ref="F267:G267" si="263">E267*1.1</f>
        <v>0</v>
      </c>
      <c r="G267" s="319">
        <f t="shared" si="263"/>
        <v>0</v>
      </c>
      <c r="H267" s="132"/>
    </row>
    <row r="268" spans="1:8" s="290" customFormat="1" outlineLevel="2">
      <c r="A268" s="375"/>
      <c r="B268" s="375"/>
      <c r="C268" s="329">
        <v>2210800</v>
      </c>
      <c r="D268" s="333" t="s">
        <v>41</v>
      </c>
      <c r="E268" s="323">
        <f>E269+E270</f>
        <v>1138500</v>
      </c>
      <c r="F268" s="319">
        <f t="shared" ref="F268:G268" si="264">E268*1.1</f>
        <v>1252350</v>
      </c>
      <c r="G268" s="319">
        <f t="shared" si="264"/>
        <v>1377585</v>
      </c>
      <c r="H268" s="132"/>
    </row>
    <row r="269" spans="1:8" s="290" customFormat="1" ht="30" outlineLevel="2">
      <c r="A269" s="375"/>
      <c r="B269" s="375"/>
      <c r="C269" s="325">
        <v>2210801</v>
      </c>
      <c r="D269" s="332" t="s">
        <v>112</v>
      </c>
      <c r="E269" s="331">
        <v>838500</v>
      </c>
      <c r="F269" s="319">
        <f t="shared" ref="F269:G269" si="265">E269*1.1</f>
        <v>922350.00000000012</v>
      </c>
      <c r="G269" s="319">
        <f t="shared" si="265"/>
        <v>1014585.0000000002</v>
      </c>
      <c r="H269" s="132"/>
    </row>
    <row r="270" spans="1:8" s="290" customFormat="1" outlineLevel="2">
      <c r="A270" s="375"/>
      <c r="B270" s="375"/>
      <c r="C270" s="325">
        <v>2210802</v>
      </c>
      <c r="D270" s="332" t="s">
        <v>86</v>
      </c>
      <c r="E270" s="331">
        <v>300000</v>
      </c>
      <c r="F270" s="319">
        <f t="shared" ref="F270:G270" si="266">E270*1.1</f>
        <v>330000</v>
      </c>
      <c r="G270" s="319">
        <f t="shared" si="266"/>
        <v>363000.00000000006</v>
      </c>
      <c r="H270" s="132"/>
    </row>
    <row r="271" spans="1:8" s="290" customFormat="1" outlineLevel="2">
      <c r="A271" s="375"/>
      <c r="B271" s="375"/>
      <c r="C271" s="329">
        <v>2211000</v>
      </c>
      <c r="D271" s="333" t="s">
        <v>88</v>
      </c>
      <c r="E271" s="323">
        <f>E272</f>
        <v>1570999.9082527161</v>
      </c>
      <c r="F271" s="319">
        <f t="shared" ref="F271:G271" si="267">E271*1.1</f>
        <v>1728099.8990779878</v>
      </c>
      <c r="G271" s="319">
        <f t="shared" si="267"/>
        <v>1900909.8889857866</v>
      </c>
      <c r="H271" s="132"/>
    </row>
    <row r="272" spans="1:8" s="290" customFormat="1" outlineLevel="2">
      <c r="A272" s="375"/>
      <c r="B272" s="375"/>
      <c r="C272" s="325">
        <v>2211016</v>
      </c>
      <c r="D272" s="332" t="s">
        <v>89</v>
      </c>
      <c r="E272" s="331">
        <f>(1000000-200000+1500000)+-729000.091747284</f>
        <v>1570999.9082527161</v>
      </c>
      <c r="F272" s="319">
        <f t="shared" ref="F272:G272" si="268">E272*1.1</f>
        <v>1728099.8990779878</v>
      </c>
      <c r="G272" s="319">
        <f t="shared" si="268"/>
        <v>1900909.8889857866</v>
      </c>
      <c r="H272" s="132"/>
    </row>
    <row r="273" spans="1:8" s="290" customFormat="1" outlineLevel="2">
      <c r="A273" s="375"/>
      <c r="B273" s="375"/>
      <c r="C273" s="329">
        <v>2211100</v>
      </c>
      <c r="D273" s="333" t="s">
        <v>49</v>
      </c>
      <c r="E273" s="323">
        <f>E274+E275+E276</f>
        <v>2151500</v>
      </c>
      <c r="F273" s="319">
        <f t="shared" ref="F273:G273" si="269">E273*1.1</f>
        <v>2366650</v>
      </c>
      <c r="G273" s="319">
        <f t="shared" si="269"/>
        <v>2603315</v>
      </c>
      <c r="H273" s="132"/>
    </row>
    <row r="274" spans="1:8" s="290" customFormat="1" ht="30" outlineLevel="2">
      <c r="A274" s="375"/>
      <c r="B274" s="375"/>
      <c r="C274" s="325">
        <v>2211101</v>
      </c>
      <c r="D274" s="332" t="s">
        <v>87</v>
      </c>
      <c r="E274" s="331">
        <v>831500</v>
      </c>
      <c r="F274" s="319">
        <f t="shared" ref="F274:G274" si="270">E274*1.1</f>
        <v>914650.00000000012</v>
      </c>
      <c r="G274" s="319">
        <f t="shared" si="270"/>
        <v>1006115.0000000002</v>
      </c>
      <c r="H274" s="132"/>
    </row>
    <row r="275" spans="1:8" s="290" customFormat="1" outlineLevel="2">
      <c r="A275" s="375"/>
      <c r="B275" s="375"/>
      <c r="C275" s="325">
        <v>2211102</v>
      </c>
      <c r="D275" s="332" t="s">
        <v>51</v>
      </c>
      <c r="E275" s="331">
        <f>1740000-500000-500000</f>
        <v>740000</v>
      </c>
      <c r="F275" s="319">
        <f t="shared" ref="F275:G275" si="271">E275*1.1</f>
        <v>814000.00000000012</v>
      </c>
      <c r="G275" s="319">
        <f t="shared" si="271"/>
        <v>895400.00000000023</v>
      </c>
      <c r="H275" s="132"/>
    </row>
    <row r="276" spans="1:8" s="290" customFormat="1" outlineLevel="2">
      <c r="A276" s="375"/>
      <c r="B276" s="375"/>
      <c r="C276" s="325">
        <v>2211103</v>
      </c>
      <c r="D276" s="332" t="s">
        <v>52</v>
      </c>
      <c r="E276" s="331">
        <f>580000</f>
        <v>580000</v>
      </c>
      <c r="F276" s="319">
        <f t="shared" ref="F276:G276" si="272">E276*1.1</f>
        <v>638000</v>
      </c>
      <c r="G276" s="319">
        <f t="shared" si="272"/>
        <v>701800</v>
      </c>
      <c r="H276" s="132"/>
    </row>
    <row r="277" spans="1:8" s="290" customFormat="1" outlineLevel="2">
      <c r="A277" s="375"/>
      <c r="B277" s="375"/>
      <c r="C277" s="329">
        <v>2211200</v>
      </c>
      <c r="D277" s="333" t="s">
        <v>53</v>
      </c>
      <c r="E277" s="323">
        <f>SUM(E278)</f>
        <v>1406000</v>
      </c>
      <c r="F277" s="319">
        <f t="shared" ref="F277:G277" si="273">E277*1.1</f>
        <v>1546600.0000000002</v>
      </c>
      <c r="G277" s="319">
        <f t="shared" si="273"/>
        <v>1701260.0000000005</v>
      </c>
      <c r="H277" s="132"/>
    </row>
    <row r="278" spans="1:8" s="290" customFormat="1" outlineLevel="2">
      <c r="A278" s="375"/>
      <c r="B278" s="375"/>
      <c r="C278" s="325">
        <v>2211201</v>
      </c>
      <c r="D278" s="332" t="s">
        <v>53</v>
      </c>
      <c r="E278" s="331">
        <f>406000+1000000</f>
        <v>1406000</v>
      </c>
      <c r="F278" s="319">
        <f t="shared" ref="F278:G278" si="274">E278*1.1</f>
        <v>1546600.0000000002</v>
      </c>
      <c r="G278" s="319">
        <f t="shared" si="274"/>
        <v>1701260.0000000005</v>
      </c>
      <c r="H278" s="132"/>
    </row>
    <row r="279" spans="1:8" s="291" customFormat="1" outlineLevel="2">
      <c r="A279" s="375"/>
      <c r="B279" s="375"/>
      <c r="C279" s="329">
        <v>2211300</v>
      </c>
      <c r="D279" s="333" t="s">
        <v>55</v>
      </c>
      <c r="E279" s="356">
        <f>E280</f>
        <v>650000</v>
      </c>
      <c r="F279" s="319">
        <f t="shared" ref="F279:G279" si="275">E279*1.1</f>
        <v>715000</v>
      </c>
      <c r="G279" s="319">
        <f t="shared" si="275"/>
        <v>786500.00000000012</v>
      </c>
      <c r="H279" s="132"/>
    </row>
    <row r="280" spans="1:8" s="290" customFormat="1" outlineLevel="2">
      <c r="A280" s="375"/>
      <c r="B280" s="375"/>
      <c r="C280" s="325">
        <v>2211399</v>
      </c>
      <c r="D280" s="332" t="s">
        <v>60</v>
      </c>
      <c r="E280" s="331">
        <f>1500000-850000</f>
        <v>650000</v>
      </c>
      <c r="F280" s="319">
        <f t="shared" ref="F280:G280" si="276">E280*1.1</f>
        <v>715000</v>
      </c>
      <c r="G280" s="319">
        <f t="shared" si="276"/>
        <v>786500.00000000012</v>
      </c>
      <c r="H280" s="132"/>
    </row>
    <row r="281" spans="1:8" s="290" customFormat="1" ht="30" outlineLevel="2">
      <c r="A281" s="375"/>
      <c r="B281" s="375"/>
      <c r="C281" s="329">
        <v>2220100</v>
      </c>
      <c r="D281" s="333" t="s">
        <v>61</v>
      </c>
      <c r="E281" s="323">
        <f>SUM(E282)</f>
        <v>1464000</v>
      </c>
      <c r="F281" s="319">
        <f t="shared" ref="F281:G281" si="277">E281*1.1</f>
        <v>1610400.0000000002</v>
      </c>
      <c r="G281" s="319">
        <f t="shared" si="277"/>
        <v>1771440.0000000005</v>
      </c>
      <c r="H281" s="132"/>
    </row>
    <row r="282" spans="1:8" s="290" customFormat="1" outlineLevel="2">
      <c r="A282" s="375"/>
      <c r="B282" s="375"/>
      <c r="C282" s="325">
        <v>2220101</v>
      </c>
      <c r="D282" s="332" t="s">
        <v>113</v>
      </c>
      <c r="E282" s="331">
        <f>464000+1000000</f>
        <v>1464000</v>
      </c>
      <c r="F282" s="319">
        <f t="shared" ref="F282:G282" si="278">E282*1.1</f>
        <v>1610400.0000000002</v>
      </c>
      <c r="G282" s="319">
        <f t="shared" si="278"/>
        <v>1771440.0000000005</v>
      </c>
      <c r="H282" s="132"/>
    </row>
    <row r="283" spans="1:8" s="290" customFormat="1" outlineLevel="2">
      <c r="A283" s="375"/>
      <c r="B283" s="375"/>
      <c r="C283" s="329">
        <v>2220200</v>
      </c>
      <c r="D283" s="333" t="s">
        <v>114</v>
      </c>
      <c r="E283" s="323">
        <f>SUM(E284:E284)</f>
        <v>1000000</v>
      </c>
      <c r="F283" s="319">
        <f t="shared" ref="F283:G283" si="279">E283*1.1</f>
        <v>1100000</v>
      </c>
      <c r="G283" s="319">
        <f t="shared" si="279"/>
        <v>1210000</v>
      </c>
      <c r="H283" s="132"/>
    </row>
    <row r="284" spans="1:8" s="290" customFormat="1" outlineLevel="2">
      <c r="A284" s="375"/>
      <c r="B284" s="375"/>
      <c r="C284" s="325">
        <v>2220202</v>
      </c>
      <c r="D284" s="332" t="s">
        <v>115</v>
      </c>
      <c r="E284" s="331">
        <v>1000000</v>
      </c>
      <c r="F284" s="319">
        <f t="shared" ref="F284:G284" si="280">E284*1.1</f>
        <v>1100000</v>
      </c>
      <c r="G284" s="319">
        <f t="shared" si="280"/>
        <v>1210000</v>
      </c>
      <c r="H284" s="132"/>
    </row>
    <row r="285" spans="1:8" s="290" customFormat="1" outlineLevel="2">
      <c r="A285" s="375"/>
      <c r="B285" s="375"/>
      <c r="C285" s="376">
        <v>3110700</v>
      </c>
      <c r="D285" s="699" t="s">
        <v>116</v>
      </c>
      <c r="E285" s="378">
        <f>E286</f>
        <v>20000000</v>
      </c>
      <c r="F285" s="319">
        <f t="shared" ref="F285:G285" si="281">E285*1.1</f>
        <v>22000000</v>
      </c>
      <c r="G285" s="319">
        <f t="shared" si="281"/>
        <v>24200000.000000004</v>
      </c>
      <c r="H285" s="132"/>
    </row>
    <row r="286" spans="1:8" s="290" customFormat="1" outlineLevel="2">
      <c r="A286" s="375"/>
      <c r="B286" s="375"/>
      <c r="C286" s="370">
        <v>3110701</v>
      </c>
      <c r="D286" s="371" t="s">
        <v>117</v>
      </c>
      <c r="E286" s="379">
        <v>20000000</v>
      </c>
      <c r="F286" s="319">
        <f t="shared" ref="F286:G286" si="282">E286*1.1</f>
        <v>22000000</v>
      </c>
      <c r="G286" s="319">
        <f t="shared" si="282"/>
        <v>24200000.000000004</v>
      </c>
      <c r="H286" s="132"/>
    </row>
    <row r="287" spans="1:8" s="290" customFormat="1" outlineLevel="2">
      <c r="A287" s="375"/>
      <c r="B287" s="375"/>
      <c r="C287" s="329">
        <v>3111000</v>
      </c>
      <c r="D287" s="333" t="s">
        <v>65</v>
      </c>
      <c r="E287" s="323">
        <f>SUM(E288:E289)</f>
        <v>1500000</v>
      </c>
      <c r="F287" s="319">
        <f t="shared" ref="F287:G287" si="283">E287*1.1</f>
        <v>1650000.0000000002</v>
      </c>
      <c r="G287" s="319">
        <f t="shared" si="283"/>
        <v>1815000.0000000005</v>
      </c>
      <c r="H287" s="132"/>
    </row>
    <row r="288" spans="1:8" s="290" customFormat="1" outlineLevel="2">
      <c r="A288" s="375"/>
      <c r="B288" s="375"/>
      <c r="C288" s="325">
        <v>3111001</v>
      </c>
      <c r="D288" s="332" t="s">
        <v>66</v>
      </c>
      <c r="E288" s="331">
        <f>1500000-500000</f>
        <v>1000000</v>
      </c>
      <c r="F288" s="319">
        <f t="shared" ref="F288:G288" si="284">E288*1.1</f>
        <v>1100000</v>
      </c>
      <c r="G288" s="319">
        <f t="shared" si="284"/>
        <v>1210000</v>
      </c>
      <c r="H288" s="132"/>
    </row>
    <row r="289" spans="1:8" s="290" customFormat="1" outlineLevel="2">
      <c r="A289" s="375"/>
      <c r="B289" s="375"/>
      <c r="C289" s="325">
        <v>3111002</v>
      </c>
      <c r="D289" s="332" t="s">
        <v>67</v>
      </c>
      <c r="E289" s="331">
        <v>500000</v>
      </c>
      <c r="F289" s="319">
        <f t="shared" ref="F289:G289" si="285">E289*1.1</f>
        <v>550000</v>
      </c>
      <c r="G289" s="319">
        <f t="shared" si="285"/>
        <v>605000</v>
      </c>
      <c r="H289" s="132"/>
    </row>
    <row r="290" spans="1:8" s="290" customFormat="1" outlineLevel="1">
      <c r="A290" s="375"/>
      <c r="B290" s="375"/>
      <c r="C290" s="335"/>
      <c r="D290" s="380" t="s">
        <v>101</v>
      </c>
      <c r="E290" s="323">
        <f>E287+E283+E281+E277+E273+E271+E268+E261+E253+E249+E246+E285+E279+E257</f>
        <v>37370999.908252716</v>
      </c>
      <c r="F290" s="319">
        <f t="shared" ref="F290:G290" si="286">E290*1.1</f>
        <v>41108099.899077989</v>
      </c>
      <c r="G290" s="319">
        <f t="shared" si="286"/>
        <v>45218909.88898579</v>
      </c>
      <c r="H290" s="132"/>
    </row>
    <row r="291" spans="1:8" s="290" customFormat="1" outlineLevel="1">
      <c r="A291" s="375"/>
      <c r="B291" s="375"/>
      <c r="C291" s="316"/>
      <c r="D291" s="380" t="s">
        <v>80</v>
      </c>
      <c r="E291" s="323">
        <f>E290</f>
        <v>37370999.908252716</v>
      </c>
      <c r="F291" s="319">
        <f t="shared" ref="F291:G291" si="287">E291*1.1</f>
        <v>41108099.899077989</v>
      </c>
      <c r="G291" s="319">
        <f t="shared" si="287"/>
        <v>45218909.88898579</v>
      </c>
      <c r="H291" s="132"/>
    </row>
    <row r="292" spans="1:8" s="290" customFormat="1" outlineLevel="1">
      <c r="A292" s="375"/>
      <c r="B292" s="375"/>
      <c r="C292" s="316"/>
      <c r="D292" s="369"/>
      <c r="E292" s="337"/>
      <c r="F292" s="319">
        <f t="shared" ref="F292:G292" si="288">E292*1.1</f>
        <v>0</v>
      </c>
      <c r="G292" s="319">
        <f t="shared" si="288"/>
        <v>0</v>
      </c>
      <c r="H292" s="132"/>
    </row>
    <row r="293" spans="1:8" s="290" customFormat="1" outlineLevel="1">
      <c r="A293" s="375"/>
      <c r="B293" s="375"/>
      <c r="C293" s="381" t="s">
        <v>118</v>
      </c>
      <c r="D293" s="382"/>
      <c r="E293" s="356"/>
      <c r="F293" s="319">
        <f t="shared" ref="F293:G293" si="289">E293*1.1</f>
        <v>0</v>
      </c>
      <c r="G293" s="319">
        <f t="shared" si="289"/>
        <v>0</v>
      </c>
      <c r="H293" s="132"/>
    </row>
    <row r="294" spans="1:8" s="290" customFormat="1" outlineLevel="1">
      <c r="A294" s="375"/>
      <c r="B294" s="375"/>
      <c r="C294" s="381" t="s">
        <v>119</v>
      </c>
      <c r="D294" s="382"/>
      <c r="E294" s="356"/>
      <c r="F294" s="319">
        <f t="shared" ref="F294:G294" si="290">E294*1.1</f>
        <v>0</v>
      </c>
      <c r="G294" s="319">
        <f t="shared" si="290"/>
        <v>0</v>
      </c>
      <c r="H294" s="132"/>
    </row>
    <row r="295" spans="1:8" s="290" customFormat="1" outlineLevel="2">
      <c r="A295" s="375"/>
      <c r="B295" s="375"/>
      <c r="C295" s="376">
        <v>2210200</v>
      </c>
      <c r="D295" s="377" t="s">
        <v>19</v>
      </c>
      <c r="E295" s="323">
        <f>E297+E296</f>
        <v>1100000</v>
      </c>
      <c r="F295" s="319">
        <f t="shared" ref="F295:G295" si="291">E295*1.1</f>
        <v>1210000</v>
      </c>
      <c r="G295" s="319">
        <f t="shared" si="291"/>
        <v>1331000</v>
      </c>
      <c r="H295" s="132"/>
    </row>
    <row r="296" spans="1:8" s="290" customFormat="1" outlineLevel="2">
      <c r="A296" s="375"/>
      <c r="B296" s="375"/>
      <c r="C296" s="370">
        <v>2210201</v>
      </c>
      <c r="D296" s="371" t="s">
        <v>20</v>
      </c>
      <c r="E296" s="379">
        <v>700000</v>
      </c>
      <c r="F296" s="319">
        <f t="shared" ref="F296:G296" si="292">E296*1.1</f>
        <v>770000.00000000012</v>
      </c>
      <c r="G296" s="319">
        <f t="shared" si="292"/>
        <v>847000.00000000023</v>
      </c>
      <c r="H296" s="132"/>
    </row>
    <row r="297" spans="1:8" s="290" customFormat="1" outlineLevel="2">
      <c r="A297" s="375"/>
      <c r="B297" s="375"/>
      <c r="C297" s="370">
        <v>2210202</v>
      </c>
      <c r="D297" s="371" t="s">
        <v>21</v>
      </c>
      <c r="E297" s="379">
        <v>400000</v>
      </c>
      <c r="F297" s="319">
        <f t="shared" ref="F297:G297" si="293">E297*1.1</f>
        <v>440000.00000000006</v>
      </c>
      <c r="G297" s="319">
        <f t="shared" si="293"/>
        <v>484000.00000000012</v>
      </c>
      <c r="H297" s="132"/>
    </row>
    <row r="298" spans="1:8" s="290" customFormat="1" ht="30" outlineLevel="2">
      <c r="A298" s="375"/>
      <c r="B298" s="375"/>
      <c r="C298" s="376">
        <v>2210300</v>
      </c>
      <c r="D298" s="377" t="s">
        <v>23</v>
      </c>
      <c r="E298" s="323">
        <f>+E299+E300+E301</f>
        <v>2248899</v>
      </c>
      <c r="F298" s="319">
        <f t="shared" ref="F298:G298" si="294">E298*1.1</f>
        <v>2473788.9000000004</v>
      </c>
      <c r="G298" s="319">
        <f t="shared" si="294"/>
        <v>2721167.7900000005</v>
      </c>
      <c r="H298" s="132"/>
    </row>
    <row r="299" spans="1:8" s="290" customFormat="1" outlineLevel="2">
      <c r="A299" s="375"/>
      <c r="B299" s="375"/>
      <c r="C299" s="370">
        <v>2210301</v>
      </c>
      <c r="D299" s="371" t="s">
        <v>24</v>
      </c>
      <c r="E299" s="379">
        <v>800000</v>
      </c>
      <c r="F299" s="319">
        <f t="shared" ref="F299:G299" si="295">E299*1.1</f>
        <v>880000.00000000012</v>
      </c>
      <c r="G299" s="319">
        <f t="shared" si="295"/>
        <v>968000.00000000023</v>
      </c>
      <c r="H299" s="132"/>
    </row>
    <row r="300" spans="1:8" s="290" customFormat="1" outlineLevel="2">
      <c r="A300" s="375"/>
      <c r="B300" s="375"/>
      <c r="C300" s="370">
        <v>2210302</v>
      </c>
      <c r="D300" s="371" t="s">
        <v>25</v>
      </c>
      <c r="E300" s="379">
        <v>148899</v>
      </c>
      <c r="F300" s="319">
        <f t="shared" ref="F300:G300" si="296">E300*1.1</f>
        <v>163788.90000000002</v>
      </c>
      <c r="G300" s="319">
        <f t="shared" si="296"/>
        <v>180167.79000000004</v>
      </c>
      <c r="H300" s="132"/>
    </row>
    <row r="301" spans="1:8" s="290" customFormat="1" outlineLevel="2">
      <c r="A301" s="375"/>
      <c r="B301" s="375"/>
      <c r="C301" s="370">
        <v>2210303</v>
      </c>
      <c r="D301" s="371" t="s">
        <v>26</v>
      </c>
      <c r="E301" s="379">
        <v>1300000</v>
      </c>
      <c r="F301" s="319">
        <f t="shared" ref="F301:G301" si="297">E301*1.1</f>
        <v>1430000</v>
      </c>
      <c r="G301" s="319">
        <f t="shared" si="297"/>
        <v>1573000.0000000002</v>
      </c>
      <c r="H301" s="132"/>
    </row>
    <row r="302" spans="1:8" s="291" customFormat="1" outlineLevel="2">
      <c r="A302" s="375"/>
      <c r="B302" s="375"/>
      <c r="C302" s="329">
        <v>2210500</v>
      </c>
      <c r="D302" s="333" t="s">
        <v>30</v>
      </c>
      <c r="E302" s="378">
        <f>SUM(E303:E305)</f>
        <v>1650000</v>
      </c>
      <c r="F302" s="319">
        <f t="shared" ref="F302:G302" si="298">E302*1.1</f>
        <v>1815000.0000000002</v>
      </c>
      <c r="G302" s="319">
        <f t="shared" si="298"/>
        <v>1996500.0000000005</v>
      </c>
      <c r="H302" s="132"/>
    </row>
    <row r="303" spans="1:8" s="290" customFormat="1" outlineLevel="2">
      <c r="A303" s="375"/>
      <c r="B303" s="375"/>
      <c r="C303" s="325">
        <v>2210503</v>
      </c>
      <c r="D303" s="332" t="s">
        <v>31</v>
      </c>
      <c r="E303" s="379">
        <v>400000</v>
      </c>
      <c r="F303" s="319">
        <f t="shared" ref="F303:G303" si="299">E303*1.1</f>
        <v>440000.00000000006</v>
      </c>
      <c r="G303" s="319">
        <f t="shared" si="299"/>
        <v>484000.00000000012</v>
      </c>
      <c r="H303" s="132"/>
    </row>
    <row r="304" spans="1:8" s="290" customFormat="1" outlineLevel="2">
      <c r="A304" s="375"/>
      <c r="B304" s="375"/>
      <c r="C304" s="325">
        <v>2210504</v>
      </c>
      <c r="D304" s="332" t="s">
        <v>32</v>
      </c>
      <c r="E304" s="379">
        <v>800000</v>
      </c>
      <c r="F304" s="319">
        <f t="shared" ref="F304:G304" si="300">E304*1.1</f>
        <v>880000.00000000012</v>
      </c>
      <c r="G304" s="319">
        <f t="shared" si="300"/>
        <v>968000.00000000023</v>
      </c>
      <c r="H304" s="132"/>
    </row>
    <row r="305" spans="1:8" s="290" customFormat="1" outlineLevel="2">
      <c r="A305" s="375"/>
      <c r="B305" s="375"/>
      <c r="C305" s="325">
        <v>2210599</v>
      </c>
      <c r="D305" s="332" t="s">
        <v>33</v>
      </c>
      <c r="E305" s="379">
        <v>450000</v>
      </c>
      <c r="F305" s="319">
        <f t="shared" ref="F305:G305" si="301">E305*1.1</f>
        <v>495000.00000000006</v>
      </c>
      <c r="G305" s="319">
        <f t="shared" si="301"/>
        <v>544500.00000000012</v>
      </c>
      <c r="H305" s="132"/>
    </row>
    <row r="306" spans="1:8" s="290" customFormat="1" outlineLevel="2">
      <c r="A306" s="375"/>
      <c r="B306" s="375"/>
      <c r="C306" s="376">
        <v>2210700</v>
      </c>
      <c r="D306" s="377" t="s">
        <v>34</v>
      </c>
      <c r="E306" s="323">
        <f>E307+E308+E309</f>
        <v>1986000</v>
      </c>
      <c r="F306" s="319">
        <f t="shared" ref="F306:G306" si="302">E306*1.1</f>
        <v>2184600</v>
      </c>
      <c r="G306" s="319">
        <f t="shared" si="302"/>
        <v>2403060</v>
      </c>
      <c r="H306" s="132"/>
    </row>
    <row r="307" spans="1:8" s="290" customFormat="1" outlineLevel="2">
      <c r="A307" s="375"/>
      <c r="B307" s="375"/>
      <c r="C307" s="370">
        <v>2210701</v>
      </c>
      <c r="D307" s="371" t="s">
        <v>35</v>
      </c>
      <c r="E307" s="383">
        <v>1580000</v>
      </c>
      <c r="F307" s="319">
        <f t="shared" ref="F307:G307" si="303">E307*1.1</f>
        <v>1738000.0000000002</v>
      </c>
      <c r="G307" s="319">
        <f t="shared" si="303"/>
        <v>1911800.0000000005</v>
      </c>
      <c r="H307" s="132"/>
    </row>
    <row r="308" spans="1:8" s="290" customFormat="1" outlineLevel="2">
      <c r="A308" s="375"/>
      <c r="B308" s="375"/>
      <c r="C308" s="370">
        <v>2210704</v>
      </c>
      <c r="D308" s="371" t="s">
        <v>37</v>
      </c>
      <c r="E308" s="383">
        <v>116000</v>
      </c>
      <c r="F308" s="319">
        <f t="shared" ref="F308:G308" si="304">E308*1.1</f>
        <v>127600.00000000001</v>
      </c>
      <c r="G308" s="319">
        <f t="shared" si="304"/>
        <v>140360.00000000003</v>
      </c>
      <c r="H308" s="132"/>
    </row>
    <row r="309" spans="1:8" s="290" customFormat="1" outlineLevel="2">
      <c r="A309" s="375"/>
      <c r="B309" s="375"/>
      <c r="C309" s="370">
        <v>2210710</v>
      </c>
      <c r="D309" s="371" t="s">
        <v>38</v>
      </c>
      <c r="E309" s="383">
        <v>290000</v>
      </c>
      <c r="F309" s="319">
        <f t="shared" ref="F309:G309" si="305">E309*1.1</f>
        <v>319000</v>
      </c>
      <c r="G309" s="319">
        <f t="shared" si="305"/>
        <v>350900</v>
      </c>
      <c r="H309" s="132"/>
    </row>
    <row r="310" spans="1:8" s="290" customFormat="1" outlineLevel="2">
      <c r="A310" s="375"/>
      <c r="B310" s="375"/>
      <c r="C310" s="376">
        <v>2210800</v>
      </c>
      <c r="D310" s="377" t="s">
        <v>41</v>
      </c>
      <c r="E310" s="323">
        <f>E311</f>
        <v>3450000</v>
      </c>
      <c r="F310" s="319">
        <f t="shared" ref="F310:G310" si="306">E310*1.1</f>
        <v>3795000.0000000005</v>
      </c>
      <c r="G310" s="319">
        <f t="shared" si="306"/>
        <v>4174500.0000000009</v>
      </c>
      <c r="H310" s="132"/>
    </row>
    <row r="311" spans="1:8" s="290" customFormat="1" ht="30" outlineLevel="2">
      <c r="A311" s="375"/>
      <c r="B311" s="375"/>
      <c r="C311" s="370">
        <v>2210801</v>
      </c>
      <c r="D311" s="371" t="s">
        <v>120</v>
      </c>
      <c r="E311" s="379">
        <f>4600000-1150000</f>
        <v>3450000</v>
      </c>
      <c r="F311" s="319">
        <f t="shared" ref="F311:G311" si="307">E311*1.1</f>
        <v>3795000.0000000005</v>
      </c>
      <c r="G311" s="319">
        <f t="shared" si="307"/>
        <v>4174500.0000000009</v>
      </c>
      <c r="H311" s="132"/>
    </row>
    <row r="312" spans="1:8" s="290" customFormat="1" outlineLevel="2">
      <c r="A312" s="375"/>
      <c r="B312" s="375"/>
      <c r="C312" s="376">
        <v>2211100</v>
      </c>
      <c r="D312" s="377" t="s">
        <v>49</v>
      </c>
      <c r="E312" s="323">
        <f>E313+E314+E315</f>
        <v>3300000</v>
      </c>
      <c r="F312" s="319">
        <f t="shared" ref="F312:G312" si="308">E312*1.1</f>
        <v>3630000.0000000005</v>
      </c>
      <c r="G312" s="319">
        <f t="shared" si="308"/>
        <v>3993000.0000000009</v>
      </c>
      <c r="H312" s="132"/>
    </row>
    <row r="313" spans="1:8" s="290" customFormat="1" ht="30" outlineLevel="2">
      <c r="A313" s="375"/>
      <c r="B313" s="375"/>
      <c r="C313" s="370">
        <v>2211101</v>
      </c>
      <c r="D313" s="371" t="s">
        <v>87</v>
      </c>
      <c r="E313" s="379">
        <v>1500000</v>
      </c>
      <c r="F313" s="319">
        <f t="shared" ref="F313:G313" si="309">E313*1.1</f>
        <v>1650000.0000000002</v>
      </c>
      <c r="G313" s="319">
        <f t="shared" si="309"/>
        <v>1815000.0000000005</v>
      </c>
      <c r="H313" s="132"/>
    </row>
    <row r="314" spans="1:8" s="290" customFormat="1" outlineLevel="2">
      <c r="A314" s="375"/>
      <c r="B314" s="375"/>
      <c r="C314" s="370">
        <v>2211102</v>
      </c>
      <c r="D314" s="371" t="s">
        <v>51</v>
      </c>
      <c r="E314" s="379">
        <v>1300000</v>
      </c>
      <c r="F314" s="319">
        <f t="shared" ref="F314:G314" si="310">E314*1.1</f>
        <v>1430000</v>
      </c>
      <c r="G314" s="319">
        <f t="shared" si="310"/>
        <v>1573000.0000000002</v>
      </c>
      <c r="H314" s="132"/>
    </row>
    <row r="315" spans="1:8" s="290" customFormat="1" outlineLevel="2">
      <c r="A315" s="375"/>
      <c r="B315" s="375"/>
      <c r="C315" s="370">
        <v>2211103</v>
      </c>
      <c r="D315" s="371" t="s">
        <v>52</v>
      </c>
      <c r="E315" s="379">
        <v>500000</v>
      </c>
      <c r="F315" s="319">
        <f t="shared" ref="F315:G315" si="311">E315*1.1</f>
        <v>550000</v>
      </c>
      <c r="G315" s="319">
        <f t="shared" si="311"/>
        <v>605000</v>
      </c>
      <c r="H315" s="132"/>
    </row>
    <row r="316" spans="1:8" s="290" customFormat="1" outlineLevel="2">
      <c r="A316" s="375"/>
      <c r="B316" s="375"/>
      <c r="C316" s="376">
        <v>2211200</v>
      </c>
      <c r="D316" s="377" t="s">
        <v>53</v>
      </c>
      <c r="E316" s="323">
        <f>E317</f>
        <v>1600000</v>
      </c>
      <c r="F316" s="319">
        <f t="shared" ref="F316:G316" si="312">E316*1.1</f>
        <v>1760000.0000000002</v>
      </c>
      <c r="G316" s="319">
        <f t="shared" si="312"/>
        <v>1936000.0000000005</v>
      </c>
      <c r="H316" s="132"/>
    </row>
    <row r="317" spans="1:8" s="290" customFormat="1" outlineLevel="2">
      <c r="A317" s="375"/>
      <c r="B317" s="375"/>
      <c r="C317" s="370">
        <v>2211201</v>
      </c>
      <c r="D317" s="371" t="s">
        <v>53</v>
      </c>
      <c r="E317" s="379">
        <v>1600000</v>
      </c>
      <c r="F317" s="319">
        <f t="shared" ref="F317:G317" si="313">E317*1.1</f>
        <v>1760000.0000000002</v>
      </c>
      <c r="G317" s="319">
        <f t="shared" si="313"/>
        <v>1936000.0000000005</v>
      </c>
      <c r="H317" s="132"/>
    </row>
    <row r="318" spans="1:8" s="290" customFormat="1" outlineLevel="2">
      <c r="A318" s="328"/>
      <c r="B318" s="328"/>
      <c r="C318" s="329">
        <v>2211300</v>
      </c>
      <c r="D318" s="333" t="s">
        <v>55</v>
      </c>
      <c r="E318" s="323">
        <f>SUM(E319)</f>
        <v>1500000</v>
      </c>
      <c r="F318" s="319">
        <f t="shared" ref="F318:G318" si="314">E318*1.1</f>
        <v>1650000.0000000002</v>
      </c>
      <c r="G318" s="319">
        <f t="shared" si="314"/>
        <v>1815000.0000000005</v>
      </c>
      <c r="H318" s="132"/>
    </row>
    <row r="319" spans="1:8" s="290" customFormat="1" outlineLevel="2">
      <c r="A319" s="375"/>
      <c r="B319" s="375"/>
      <c r="C319" s="325">
        <v>2211399</v>
      </c>
      <c r="D319" s="332" t="s">
        <v>60</v>
      </c>
      <c r="E319" s="379">
        <v>1500000</v>
      </c>
      <c r="F319" s="319">
        <f t="shared" ref="F319:G319" si="315">E319*1.1</f>
        <v>1650000.0000000002</v>
      </c>
      <c r="G319" s="319">
        <f t="shared" si="315"/>
        <v>1815000.0000000005</v>
      </c>
      <c r="H319" s="132"/>
    </row>
    <row r="320" spans="1:8" s="290" customFormat="1" ht="30" outlineLevel="2">
      <c r="A320" s="375"/>
      <c r="B320" s="375"/>
      <c r="C320" s="376">
        <v>2220100</v>
      </c>
      <c r="D320" s="377" t="s">
        <v>61</v>
      </c>
      <c r="E320" s="323">
        <f>E321</f>
        <v>1500000</v>
      </c>
      <c r="F320" s="319">
        <f t="shared" ref="F320:G320" si="316">E320*1.1</f>
        <v>1650000.0000000002</v>
      </c>
      <c r="G320" s="319">
        <f t="shared" si="316"/>
        <v>1815000.0000000005</v>
      </c>
      <c r="H320" s="132"/>
    </row>
    <row r="321" spans="1:11" s="290" customFormat="1" outlineLevel="2">
      <c r="A321" s="375"/>
      <c r="B321" s="375"/>
      <c r="C321" s="370">
        <v>2220101</v>
      </c>
      <c r="D321" s="371" t="s">
        <v>113</v>
      </c>
      <c r="E321" s="379">
        <v>1500000</v>
      </c>
      <c r="F321" s="319">
        <f t="shared" ref="F321:G321" si="317">E321*1.1</f>
        <v>1650000.0000000002</v>
      </c>
      <c r="G321" s="319">
        <f t="shared" si="317"/>
        <v>1815000.0000000005</v>
      </c>
      <c r="H321" s="132"/>
    </row>
    <row r="322" spans="1:11" s="290" customFormat="1" outlineLevel="2">
      <c r="A322" s="375"/>
      <c r="B322" s="375"/>
      <c r="C322" s="376">
        <v>2220200</v>
      </c>
      <c r="D322" s="377" t="s">
        <v>114</v>
      </c>
      <c r="E322" s="323">
        <f>E323</f>
        <v>1000000</v>
      </c>
      <c r="F322" s="319">
        <f t="shared" ref="F322:G322" si="318">E322*1.1</f>
        <v>1100000</v>
      </c>
      <c r="G322" s="319">
        <f t="shared" si="318"/>
        <v>1210000</v>
      </c>
      <c r="H322" s="132"/>
    </row>
    <row r="323" spans="1:11" s="290" customFormat="1" outlineLevel="2">
      <c r="A323" s="375"/>
      <c r="B323" s="375"/>
      <c r="C323" s="370">
        <v>2220202</v>
      </c>
      <c r="D323" s="371" t="s">
        <v>115</v>
      </c>
      <c r="E323" s="379">
        <v>1000000</v>
      </c>
      <c r="F323" s="319">
        <f t="shared" ref="F323:G323" si="319">E323*1.1</f>
        <v>1100000</v>
      </c>
      <c r="G323" s="319">
        <f t="shared" si="319"/>
        <v>1210000</v>
      </c>
      <c r="H323" s="132"/>
    </row>
    <row r="324" spans="1:11" s="290" customFormat="1" outlineLevel="2">
      <c r="A324" s="375"/>
      <c r="B324" s="375"/>
      <c r="C324" s="376">
        <v>3111000</v>
      </c>
      <c r="D324" s="377" t="s">
        <v>65</v>
      </c>
      <c r="E324" s="323">
        <f>E325+E326+E327</f>
        <v>8365101</v>
      </c>
      <c r="F324" s="319">
        <f t="shared" ref="F324:G324" si="320">E324*1.1</f>
        <v>9201611.1000000015</v>
      </c>
      <c r="G324" s="319">
        <f t="shared" si="320"/>
        <v>10121772.210000003</v>
      </c>
      <c r="H324" s="132"/>
    </row>
    <row r="325" spans="1:11" s="290" customFormat="1" outlineLevel="2">
      <c r="A325" s="375"/>
      <c r="B325" s="375"/>
      <c r="C325" s="370">
        <v>3111001</v>
      </c>
      <c r="D325" s="371" t="s">
        <v>66</v>
      </c>
      <c r="E325" s="379">
        <v>500000</v>
      </c>
      <c r="F325" s="319">
        <f t="shared" ref="F325:G325" si="321">E325*1.1</f>
        <v>550000</v>
      </c>
      <c r="G325" s="319">
        <f t="shared" si="321"/>
        <v>605000</v>
      </c>
      <c r="H325" s="132"/>
    </row>
    <row r="326" spans="1:11" s="290" customFormat="1" outlineLevel="2">
      <c r="A326" s="375"/>
      <c r="B326" s="375"/>
      <c r="C326" s="370">
        <v>3111002</v>
      </c>
      <c r="D326" s="371" t="s">
        <v>67</v>
      </c>
      <c r="E326" s="379">
        <v>500000</v>
      </c>
      <c r="F326" s="319">
        <f t="shared" ref="F326:G326" si="322">E326*1.1</f>
        <v>550000</v>
      </c>
      <c r="G326" s="319">
        <f t="shared" si="322"/>
        <v>605000</v>
      </c>
      <c r="H326" s="132"/>
    </row>
    <row r="327" spans="1:11" s="290" customFormat="1" ht="45" outlineLevel="2">
      <c r="A327" s="375"/>
      <c r="B327" s="375"/>
      <c r="C327" s="370">
        <v>3111111</v>
      </c>
      <c r="D327" s="371" t="s">
        <v>121</v>
      </c>
      <c r="E327" s="379">
        <f>7800000-434899</f>
        <v>7365101</v>
      </c>
      <c r="F327" s="319">
        <f t="shared" ref="F327:G327" si="323">E327*1.1</f>
        <v>8101611.1000000006</v>
      </c>
      <c r="G327" s="319">
        <f t="shared" si="323"/>
        <v>8911772.2100000009</v>
      </c>
      <c r="H327" s="132"/>
    </row>
    <row r="328" spans="1:11" s="290" customFormat="1" outlineLevel="1">
      <c r="A328" s="375"/>
      <c r="B328" s="375"/>
      <c r="C328" s="316"/>
      <c r="D328" s="336" t="s">
        <v>101</v>
      </c>
      <c r="E328" s="323">
        <f>E324+E322+E320+E316+E312+E310+E306+E298+E295+E302+E318</f>
        <v>27700000</v>
      </c>
      <c r="F328" s="319">
        <f t="shared" ref="F328:G328" si="324">E328*1.1</f>
        <v>30470000.000000004</v>
      </c>
      <c r="G328" s="319">
        <f t="shared" si="324"/>
        <v>33517000.000000007</v>
      </c>
      <c r="H328" s="132"/>
    </row>
    <row r="329" spans="1:11" s="290" customFormat="1" outlineLevel="1">
      <c r="A329" s="375"/>
      <c r="B329" s="375"/>
      <c r="C329" s="316"/>
      <c r="D329" s="336" t="s">
        <v>80</v>
      </c>
      <c r="E329" s="323">
        <f>E328</f>
        <v>27700000</v>
      </c>
      <c r="F329" s="319">
        <f t="shared" ref="F329:G329" si="325">E329*1.1</f>
        <v>30470000.000000004</v>
      </c>
      <c r="G329" s="319">
        <f t="shared" si="325"/>
        <v>33517000.000000007</v>
      </c>
      <c r="H329" s="132"/>
    </row>
    <row r="330" spans="1:11" s="290" customFormat="1" outlineLevel="1">
      <c r="A330" s="375"/>
      <c r="B330" s="375"/>
      <c r="C330" s="316"/>
      <c r="D330" s="336" t="s">
        <v>122</v>
      </c>
      <c r="E330" s="356">
        <f>E329+E291</f>
        <v>65070999.908252716</v>
      </c>
      <c r="F330" s="319">
        <f t="shared" ref="F330:G330" si="326">E330*1.1</f>
        <v>71578099.899077997</v>
      </c>
      <c r="G330" s="319">
        <f t="shared" si="326"/>
        <v>78735909.888985798</v>
      </c>
      <c r="H330" s="132"/>
    </row>
    <row r="331" spans="1:11" s="290" customFormat="1" outlineLevel="1">
      <c r="A331" s="375"/>
      <c r="B331" s="375"/>
      <c r="C331" s="316"/>
      <c r="D331" s="336"/>
      <c r="E331" s="356"/>
      <c r="F331" s="319">
        <f t="shared" ref="F331:G331" si="327">E331*1.1</f>
        <v>0</v>
      </c>
      <c r="G331" s="319">
        <f t="shared" si="327"/>
        <v>0</v>
      </c>
      <c r="H331" s="132"/>
    </row>
    <row r="332" spans="1:11" s="290" customFormat="1" outlineLevel="1">
      <c r="A332" s="375"/>
      <c r="B332" s="375"/>
      <c r="C332" s="316"/>
      <c r="D332" s="317" t="s">
        <v>123</v>
      </c>
      <c r="E332" s="356">
        <f>E330+E240</f>
        <v>1173844721.9082527</v>
      </c>
      <c r="F332" s="319">
        <f t="shared" ref="F332:G332" si="328">E332*1.1</f>
        <v>1291229194.0990782</v>
      </c>
      <c r="G332" s="319">
        <f t="shared" si="328"/>
        <v>1420352113.508986</v>
      </c>
      <c r="H332" s="132"/>
    </row>
    <row r="333" spans="1:11" s="290" customFormat="1" outlineLevel="1">
      <c r="A333" s="375"/>
      <c r="B333" s="375"/>
      <c r="C333" s="325"/>
      <c r="D333" s="317" t="s">
        <v>124</v>
      </c>
      <c r="E333" s="356">
        <f>E241</f>
        <v>899500000</v>
      </c>
      <c r="F333" s="319">
        <f t="shared" ref="F333:G333" si="329">E333*1.1</f>
        <v>989450000.00000012</v>
      </c>
      <c r="G333" s="319">
        <f t="shared" si="329"/>
        <v>1088395000.0000002</v>
      </c>
      <c r="H333" s="132"/>
    </row>
    <row r="334" spans="1:11" s="290" customFormat="1" outlineLevel="1">
      <c r="A334" s="375"/>
      <c r="B334" s="375"/>
      <c r="C334" s="325"/>
      <c r="D334" s="336" t="s">
        <v>125</v>
      </c>
      <c r="E334" s="356">
        <f>E332+E333</f>
        <v>2073344721.9082527</v>
      </c>
      <c r="F334" s="319">
        <f t="shared" ref="F334:G334" si="330">E334*1.1</f>
        <v>2280679194.0990782</v>
      </c>
      <c r="G334" s="319">
        <f t="shared" si="330"/>
        <v>2508747113.508986</v>
      </c>
      <c r="H334" s="132"/>
      <c r="K334" s="846"/>
    </row>
    <row r="335" spans="1:11" s="290" customFormat="1" outlineLevel="1">
      <c r="A335" s="382"/>
      <c r="B335" s="382"/>
      <c r="C335" s="341"/>
      <c r="D335" s="382"/>
      <c r="E335" s="382"/>
      <c r="F335" s="319">
        <f t="shared" ref="F335:G335" si="331">E335*1.1</f>
        <v>0</v>
      </c>
      <c r="G335" s="319">
        <f t="shared" si="331"/>
        <v>0</v>
      </c>
      <c r="H335" s="132"/>
    </row>
    <row r="336" spans="1:11" s="290" customFormat="1" outlineLevel="1">
      <c r="A336" s="382"/>
      <c r="B336" s="382"/>
      <c r="C336" s="341"/>
      <c r="D336" s="382"/>
      <c r="E336" s="382"/>
      <c r="F336" s="319">
        <f t="shared" ref="F336:G336" si="332">E336*1.1</f>
        <v>0</v>
      </c>
      <c r="G336" s="319">
        <f t="shared" si="332"/>
        <v>0</v>
      </c>
      <c r="H336" s="132"/>
    </row>
    <row r="337" spans="1:8" s="290" customFormat="1" outlineLevel="1">
      <c r="A337" s="382"/>
      <c r="B337" s="382"/>
      <c r="C337" s="384" t="s">
        <v>126</v>
      </c>
      <c r="D337" s="384"/>
      <c r="E337" s="328"/>
      <c r="F337" s="319">
        <f t="shared" ref="F337:G337" si="333">E337*1.1</f>
        <v>0</v>
      </c>
      <c r="G337" s="319">
        <f t="shared" si="333"/>
        <v>0</v>
      </c>
      <c r="H337" s="132"/>
    </row>
    <row r="338" spans="1:8" s="290" customFormat="1" outlineLevel="1">
      <c r="A338" s="382"/>
      <c r="B338" s="382"/>
      <c r="C338" s="384" t="s">
        <v>126</v>
      </c>
      <c r="D338" s="385"/>
      <c r="E338" s="382"/>
      <c r="F338" s="319">
        <f t="shared" ref="F338:G338" si="334">E338*1.1</f>
        <v>0</v>
      </c>
      <c r="G338" s="319">
        <f t="shared" si="334"/>
        <v>0</v>
      </c>
      <c r="H338" s="132"/>
    </row>
    <row r="339" spans="1:8" s="290" customFormat="1" outlineLevel="1">
      <c r="A339" s="382"/>
      <c r="B339" s="382"/>
      <c r="C339" s="384" t="s">
        <v>127</v>
      </c>
      <c r="D339" s="385"/>
      <c r="E339" s="382"/>
      <c r="F339" s="319">
        <f t="shared" ref="F339:G339" si="335">E339*1.1</f>
        <v>0</v>
      </c>
      <c r="G339" s="319">
        <f t="shared" si="335"/>
        <v>0</v>
      </c>
      <c r="H339" s="132"/>
    </row>
    <row r="340" spans="1:8" s="290" customFormat="1" outlineLevel="2">
      <c r="A340" s="382"/>
      <c r="B340" s="382"/>
      <c r="C340" s="386">
        <v>2210100</v>
      </c>
      <c r="D340" s="387" t="s">
        <v>16</v>
      </c>
      <c r="E340" s="388">
        <f>E341+E342</f>
        <v>126000</v>
      </c>
      <c r="F340" s="319">
        <f t="shared" ref="F340:G340" si="336">E340*1.1</f>
        <v>138600</v>
      </c>
      <c r="G340" s="319">
        <f t="shared" si="336"/>
        <v>152460</v>
      </c>
      <c r="H340" s="132"/>
    </row>
    <row r="341" spans="1:8" s="290" customFormat="1" outlineLevel="2">
      <c r="A341" s="382"/>
      <c r="B341" s="382"/>
      <c r="C341" s="389">
        <v>2210101</v>
      </c>
      <c r="D341" s="340" t="s">
        <v>17</v>
      </c>
      <c r="E341" s="390">
        <v>58000</v>
      </c>
      <c r="F341" s="319">
        <f t="shared" ref="F341:G341" si="337">E341*1.1</f>
        <v>63800.000000000007</v>
      </c>
      <c r="G341" s="319">
        <f t="shared" si="337"/>
        <v>70180.000000000015</v>
      </c>
      <c r="H341" s="132"/>
    </row>
    <row r="342" spans="1:8" s="290" customFormat="1" outlineLevel="2">
      <c r="A342" s="382"/>
      <c r="B342" s="382"/>
      <c r="C342" s="389">
        <v>2210102</v>
      </c>
      <c r="D342" s="340" t="s">
        <v>18</v>
      </c>
      <c r="E342" s="390">
        <v>68000</v>
      </c>
      <c r="F342" s="319">
        <f t="shared" ref="F342:G342" si="338">E342*1.1</f>
        <v>74800</v>
      </c>
      <c r="G342" s="319">
        <f t="shared" si="338"/>
        <v>82280</v>
      </c>
      <c r="H342" s="132"/>
    </row>
    <row r="343" spans="1:8" s="290" customFormat="1" outlineLevel="2">
      <c r="A343" s="382"/>
      <c r="B343" s="382"/>
      <c r="C343" s="386">
        <v>2210200</v>
      </c>
      <c r="D343" s="387" t="s">
        <v>19</v>
      </c>
      <c r="E343" s="388">
        <f>E344+E345+E346</f>
        <v>458000</v>
      </c>
      <c r="F343" s="319">
        <f t="shared" ref="F343:G343" si="339">E343*1.1</f>
        <v>503800.00000000006</v>
      </c>
      <c r="G343" s="319">
        <f t="shared" si="339"/>
        <v>554180.00000000012</v>
      </c>
      <c r="H343" s="132"/>
    </row>
    <row r="344" spans="1:8" s="290" customFormat="1" outlineLevel="2">
      <c r="A344" s="382"/>
      <c r="B344" s="382"/>
      <c r="C344" s="389">
        <v>2210201</v>
      </c>
      <c r="D344" s="340" t="s">
        <v>20</v>
      </c>
      <c r="E344" s="390">
        <v>320000</v>
      </c>
      <c r="F344" s="319">
        <f t="shared" ref="F344:G344" si="340">E344*1.1</f>
        <v>352000</v>
      </c>
      <c r="G344" s="319">
        <f t="shared" si="340"/>
        <v>387200.00000000006</v>
      </c>
      <c r="H344" s="132"/>
    </row>
    <row r="345" spans="1:8" s="290" customFormat="1" outlineLevel="2">
      <c r="A345" s="382"/>
      <c r="B345" s="382"/>
      <c r="C345" s="389">
        <v>2210202</v>
      </c>
      <c r="D345" s="340" t="s">
        <v>21</v>
      </c>
      <c r="E345" s="390">
        <v>58000</v>
      </c>
      <c r="F345" s="319">
        <f t="shared" ref="F345:G345" si="341">E345*1.1</f>
        <v>63800.000000000007</v>
      </c>
      <c r="G345" s="319">
        <f t="shared" si="341"/>
        <v>70180.000000000015</v>
      </c>
      <c r="H345" s="132"/>
    </row>
    <row r="346" spans="1:8" s="290" customFormat="1" outlineLevel="2">
      <c r="A346" s="382"/>
      <c r="B346" s="382"/>
      <c r="C346" s="389">
        <v>2210203</v>
      </c>
      <c r="D346" s="340" t="s">
        <v>22</v>
      </c>
      <c r="E346" s="390">
        <v>80000</v>
      </c>
      <c r="F346" s="319">
        <f t="shared" ref="F346:G346" si="342">E346*1.1</f>
        <v>88000</v>
      </c>
      <c r="G346" s="319">
        <f t="shared" si="342"/>
        <v>96800.000000000015</v>
      </c>
      <c r="H346" s="132"/>
    </row>
    <row r="347" spans="1:8" s="290" customFormat="1" ht="30" outlineLevel="2">
      <c r="A347" s="382"/>
      <c r="B347" s="382"/>
      <c r="C347" s="386">
        <v>2210300</v>
      </c>
      <c r="D347" s="387" t="s">
        <v>23</v>
      </c>
      <c r="E347" s="388">
        <f>SUM(E348:E351)</f>
        <v>1160000</v>
      </c>
      <c r="F347" s="319">
        <f t="shared" ref="F347:G347" si="343">E347*1.1</f>
        <v>1276000</v>
      </c>
      <c r="G347" s="319">
        <f t="shared" si="343"/>
        <v>1403600</v>
      </c>
      <c r="H347" s="132"/>
    </row>
    <row r="348" spans="1:8" s="290" customFormat="1" outlineLevel="2">
      <c r="A348" s="382"/>
      <c r="B348" s="382"/>
      <c r="C348" s="389">
        <v>2210301</v>
      </c>
      <c r="D348" s="340" t="s">
        <v>24</v>
      </c>
      <c r="E348" s="390">
        <v>440000</v>
      </c>
      <c r="F348" s="319">
        <f t="shared" ref="F348:G348" si="344">E348*1.1</f>
        <v>484000.00000000006</v>
      </c>
      <c r="G348" s="319">
        <f t="shared" si="344"/>
        <v>532400.00000000012</v>
      </c>
      <c r="H348" s="132"/>
    </row>
    <row r="349" spans="1:8" s="290" customFormat="1" outlineLevel="2">
      <c r="A349" s="382"/>
      <c r="B349" s="382"/>
      <c r="C349" s="389">
        <v>2210302</v>
      </c>
      <c r="D349" s="340" t="s">
        <v>25</v>
      </c>
      <c r="E349" s="390">
        <v>320000</v>
      </c>
      <c r="F349" s="319">
        <f t="shared" ref="F349:G349" si="345">E349*1.1</f>
        <v>352000</v>
      </c>
      <c r="G349" s="319">
        <f t="shared" si="345"/>
        <v>387200.00000000006</v>
      </c>
      <c r="H349" s="132"/>
    </row>
    <row r="350" spans="1:8" s="290" customFormat="1" outlineLevel="2">
      <c r="A350" s="382"/>
      <c r="B350" s="382"/>
      <c r="C350" s="389">
        <v>2210303</v>
      </c>
      <c r="D350" s="340" t="s">
        <v>26</v>
      </c>
      <c r="E350" s="390">
        <v>340000</v>
      </c>
      <c r="F350" s="319">
        <f t="shared" ref="F350:G350" si="346">E350*1.1</f>
        <v>374000.00000000006</v>
      </c>
      <c r="G350" s="319">
        <f t="shared" si="346"/>
        <v>411400.00000000012</v>
      </c>
      <c r="H350" s="132"/>
    </row>
    <row r="351" spans="1:8" s="290" customFormat="1" outlineLevel="2">
      <c r="A351" s="382"/>
      <c r="B351" s="382"/>
      <c r="C351" s="389">
        <v>2210304</v>
      </c>
      <c r="D351" s="340" t="s">
        <v>27</v>
      </c>
      <c r="E351" s="390">
        <v>60000</v>
      </c>
      <c r="F351" s="319">
        <f t="shared" ref="F351:G351" si="347">E351*1.1</f>
        <v>66000</v>
      </c>
      <c r="G351" s="319">
        <f t="shared" si="347"/>
        <v>72600</v>
      </c>
      <c r="H351" s="132"/>
    </row>
    <row r="352" spans="1:8" s="290" customFormat="1" outlineLevel="2">
      <c r="A352" s="382"/>
      <c r="B352" s="382"/>
      <c r="C352" s="386">
        <v>2210400</v>
      </c>
      <c r="D352" s="387" t="s">
        <v>28</v>
      </c>
      <c r="E352" s="388">
        <f>SUM(E353:E355)</f>
        <v>316000</v>
      </c>
      <c r="F352" s="319">
        <f t="shared" ref="F352:G352" si="348">E352*1.1</f>
        <v>347600</v>
      </c>
      <c r="G352" s="319">
        <f t="shared" si="348"/>
        <v>382360.00000000006</v>
      </c>
      <c r="H352" s="132"/>
    </row>
    <row r="353" spans="1:8" s="290" customFormat="1" outlineLevel="2">
      <c r="A353" s="382"/>
      <c r="B353" s="382"/>
      <c r="C353" s="389">
        <v>2210401</v>
      </c>
      <c r="D353" s="340" t="s">
        <v>24</v>
      </c>
      <c r="E353" s="390">
        <v>116000</v>
      </c>
      <c r="F353" s="319">
        <f t="shared" ref="F353:G353" si="349">E353*1.1</f>
        <v>127600.00000000001</v>
      </c>
      <c r="G353" s="319">
        <f t="shared" si="349"/>
        <v>140360.00000000003</v>
      </c>
      <c r="H353" s="132"/>
    </row>
    <row r="354" spans="1:8" s="290" customFormat="1" outlineLevel="2">
      <c r="A354" s="382"/>
      <c r="B354" s="382"/>
      <c r="C354" s="389">
        <v>2210402</v>
      </c>
      <c r="D354" s="340" t="s">
        <v>29</v>
      </c>
      <c r="E354" s="390">
        <v>120000</v>
      </c>
      <c r="F354" s="319">
        <f t="shared" ref="F354:G354" si="350">E354*1.1</f>
        <v>132000</v>
      </c>
      <c r="G354" s="319">
        <f t="shared" si="350"/>
        <v>145200</v>
      </c>
      <c r="H354" s="132"/>
    </row>
    <row r="355" spans="1:8" s="290" customFormat="1" outlineLevel="2">
      <c r="A355" s="382"/>
      <c r="B355" s="382"/>
      <c r="C355" s="389">
        <v>2210404</v>
      </c>
      <c r="D355" s="340" t="s">
        <v>27</v>
      </c>
      <c r="E355" s="390">
        <v>80000</v>
      </c>
      <c r="F355" s="319">
        <f t="shared" ref="F355:G355" si="351">E355*1.1</f>
        <v>88000</v>
      </c>
      <c r="G355" s="319">
        <f t="shared" si="351"/>
        <v>96800.000000000015</v>
      </c>
      <c r="H355" s="132"/>
    </row>
    <row r="356" spans="1:8" s="290" customFormat="1" outlineLevel="2">
      <c r="A356" s="382"/>
      <c r="B356" s="382"/>
      <c r="C356" s="386">
        <v>2210500</v>
      </c>
      <c r="D356" s="387" t="s">
        <v>30</v>
      </c>
      <c r="E356" s="388">
        <f>SUM(E357:E360)</f>
        <v>3460000</v>
      </c>
      <c r="F356" s="319">
        <f t="shared" ref="F356:G356" si="352">E356*1.1</f>
        <v>3806000.0000000005</v>
      </c>
      <c r="G356" s="319">
        <f t="shared" si="352"/>
        <v>4186600.0000000009</v>
      </c>
      <c r="H356" s="132"/>
    </row>
    <row r="357" spans="1:8" s="290" customFormat="1" outlineLevel="2">
      <c r="A357" s="382"/>
      <c r="B357" s="382"/>
      <c r="C357" s="389">
        <v>2210503</v>
      </c>
      <c r="D357" s="340" t="s">
        <v>31</v>
      </c>
      <c r="E357" s="390">
        <v>380000</v>
      </c>
      <c r="F357" s="319">
        <f t="shared" ref="F357:G357" si="353">E357*1.1</f>
        <v>418000.00000000006</v>
      </c>
      <c r="G357" s="319">
        <f t="shared" si="353"/>
        <v>459800.00000000012</v>
      </c>
      <c r="H357" s="132"/>
    </row>
    <row r="358" spans="1:8" s="290" customFormat="1" outlineLevel="2">
      <c r="A358" s="382"/>
      <c r="B358" s="382"/>
      <c r="C358" s="389">
        <v>2210504</v>
      </c>
      <c r="D358" s="340" t="s">
        <v>32</v>
      </c>
      <c r="E358" s="390">
        <v>980000</v>
      </c>
      <c r="F358" s="319">
        <f t="shared" ref="F358:G358" si="354">E358*1.1</f>
        <v>1078000</v>
      </c>
      <c r="G358" s="319">
        <f t="shared" si="354"/>
        <v>1185800</v>
      </c>
      <c r="H358" s="132"/>
    </row>
    <row r="359" spans="1:8" s="290" customFormat="1" outlineLevel="2">
      <c r="A359" s="382"/>
      <c r="B359" s="382"/>
      <c r="C359" s="389" t="s">
        <v>128</v>
      </c>
      <c r="D359" s="340" t="s">
        <v>129</v>
      </c>
      <c r="E359" s="390">
        <v>580000</v>
      </c>
      <c r="F359" s="319">
        <f t="shared" ref="F359:G359" si="355">E359*1.1</f>
        <v>638000</v>
      </c>
      <c r="G359" s="319">
        <f t="shared" si="355"/>
        <v>701800</v>
      </c>
      <c r="H359" s="132"/>
    </row>
    <row r="360" spans="1:8" s="290" customFormat="1" outlineLevel="2">
      <c r="A360" s="382"/>
      <c r="B360" s="382"/>
      <c r="C360" s="389">
        <v>2210599</v>
      </c>
      <c r="D360" s="340" t="s">
        <v>33</v>
      </c>
      <c r="E360" s="390">
        <v>1520000</v>
      </c>
      <c r="F360" s="319">
        <f t="shared" ref="F360:G360" si="356">E360*1.1</f>
        <v>1672000.0000000002</v>
      </c>
      <c r="G360" s="319">
        <f t="shared" si="356"/>
        <v>1839200.0000000005</v>
      </c>
      <c r="H360" s="132"/>
    </row>
    <row r="361" spans="1:8" s="290" customFormat="1" outlineLevel="2">
      <c r="A361" s="382"/>
      <c r="B361" s="382"/>
      <c r="C361" s="386">
        <v>2210700</v>
      </c>
      <c r="D361" s="387" t="s">
        <v>34</v>
      </c>
      <c r="E361" s="388">
        <f>SUM(E362:E367)</f>
        <v>970000</v>
      </c>
      <c r="F361" s="319">
        <f t="shared" ref="F361:G361" si="357">E361*1.1</f>
        <v>1067000</v>
      </c>
      <c r="G361" s="319">
        <f t="shared" si="357"/>
        <v>1173700</v>
      </c>
      <c r="H361" s="132"/>
    </row>
    <row r="362" spans="1:8" s="290" customFormat="1" outlineLevel="2">
      <c r="A362" s="382"/>
      <c r="B362" s="382"/>
      <c r="C362" s="389">
        <v>2210701</v>
      </c>
      <c r="D362" s="340" t="s">
        <v>35</v>
      </c>
      <c r="E362" s="390">
        <v>320000</v>
      </c>
      <c r="F362" s="319">
        <f t="shared" ref="F362:G362" si="358">E362*1.1</f>
        <v>352000</v>
      </c>
      <c r="G362" s="319">
        <f t="shared" si="358"/>
        <v>387200.00000000006</v>
      </c>
      <c r="H362" s="132"/>
    </row>
    <row r="363" spans="1:8" s="290" customFormat="1" outlineLevel="2">
      <c r="A363" s="382"/>
      <c r="B363" s="382"/>
      <c r="C363" s="389">
        <v>2210702</v>
      </c>
      <c r="D363" s="340" t="s">
        <v>36</v>
      </c>
      <c r="E363" s="390">
        <v>116000</v>
      </c>
      <c r="F363" s="319">
        <f t="shared" ref="F363:G363" si="359">E363*1.1</f>
        <v>127600.00000000001</v>
      </c>
      <c r="G363" s="319">
        <f t="shared" si="359"/>
        <v>140360.00000000003</v>
      </c>
      <c r="H363" s="132"/>
    </row>
    <row r="364" spans="1:8" s="290" customFormat="1" outlineLevel="2">
      <c r="A364" s="382"/>
      <c r="B364" s="382"/>
      <c r="C364" s="389">
        <v>2210704</v>
      </c>
      <c r="D364" s="340" t="s">
        <v>37</v>
      </c>
      <c r="E364" s="390">
        <v>44000</v>
      </c>
      <c r="F364" s="319">
        <f t="shared" ref="F364:G364" si="360">E364*1.1</f>
        <v>48400.000000000007</v>
      </c>
      <c r="G364" s="319">
        <f t="shared" si="360"/>
        <v>53240.000000000015</v>
      </c>
      <c r="H364" s="132"/>
    </row>
    <row r="365" spans="1:8" s="290" customFormat="1" outlineLevel="2">
      <c r="A365" s="382"/>
      <c r="B365" s="382"/>
      <c r="C365" s="389">
        <v>2210710</v>
      </c>
      <c r="D365" s="340" t="s">
        <v>38</v>
      </c>
      <c r="E365" s="390">
        <v>280000</v>
      </c>
      <c r="F365" s="319">
        <f t="shared" ref="F365:G365" si="361">E365*1.1</f>
        <v>308000</v>
      </c>
      <c r="G365" s="319">
        <f t="shared" si="361"/>
        <v>338800</v>
      </c>
      <c r="H365" s="132"/>
    </row>
    <row r="366" spans="1:8" s="290" customFormat="1" outlineLevel="2">
      <c r="A366" s="382"/>
      <c r="B366" s="382"/>
      <c r="C366" s="389">
        <v>2210715</v>
      </c>
      <c r="D366" s="340" t="s">
        <v>39</v>
      </c>
      <c r="E366" s="390">
        <v>130000</v>
      </c>
      <c r="F366" s="319">
        <f t="shared" ref="F366:G366" si="362">E366*1.1</f>
        <v>143000</v>
      </c>
      <c r="G366" s="319">
        <f t="shared" si="362"/>
        <v>157300</v>
      </c>
      <c r="H366" s="132"/>
    </row>
    <row r="367" spans="1:8" s="290" customFormat="1" outlineLevel="2">
      <c r="A367" s="382"/>
      <c r="B367" s="382"/>
      <c r="C367" s="389">
        <v>2210799</v>
      </c>
      <c r="D367" s="340" t="s">
        <v>40</v>
      </c>
      <c r="E367" s="390">
        <v>80000</v>
      </c>
      <c r="F367" s="319">
        <f t="shared" ref="F367:G367" si="363">E367*1.1</f>
        <v>88000</v>
      </c>
      <c r="G367" s="319">
        <f t="shared" si="363"/>
        <v>96800.000000000015</v>
      </c>
      <c r="H367" s="132"/>
    </row>
    <row r="368" spans="1:8" s="290" customFormat="1" outlineLevel="2">
      <c r="A368" s="382"/>
      <c r="B368" s="382"/>
      <c r="C368" s="386">
        <v>2210800</v>
      </c>
      <c r="D368" s="387" t="s">
        <v>41</v>
      </c>
      <c r="E368" s="388">
        <f>SUM(E369:E370)</f>
        <v>580000</v>
      </c>
      <c r="F368" s="319">
        <f t="shared" ref="F368:G368" si="364">E368*1.1</f>
        <v>638000</v>
      </c>
      <c r="G368" s="319">
        <f t="shared" si="364"/>
        <v>701800</v>
      </c>
      <c r="H368" s="132"/>
    </row>
    <row r="369" spans="1:8" s="290" customFormat="1" ht="30" outlineLevel="2">
      <c r="A369" s="382"/>
      <c r="B369" s="382"/>
      <c r="C369" s="389" t="s">
        <v>130</v>
      </c>
      <c r="D369" s="340" t="s">
        <v>42</v>
      </c>
      <c r="E369" s="390">
        <v>380000</v>
      </c>
      <c r="F369" s="319">
        <f t="shared" ref="F369:G369" si="365">E369*1.1</f>
        <v>418000.00000000006</v>
      </c>
      <c r="G369" s="319">
        <f t="shared" si="365"/>
        <v>459800.00000000012</v>
      </c>
      <c r="H369" s="132"/>
    </row>
    <row r="370" spans="1:8" s="290" customFormat="1" outlineLevel="2">
      <c r="A370" s="382"/>
      <c r="B370" s="382"/>
      <c r="C370" s="389">
        <v>2210802</v>
      </c>
      <c r="D370" s="340" t="s">
        <v>43</v>
      </c>
      <c r="E370" s="390">
        <v>200000</v>
      </c>
      <c r="F370" s="319">
        <f t="shared" ref="F370:G370" si="366">E370*1.1</f>
        <v>220000.00000000003</v>
      </c>
      <c r="G370" s="319">
        <f t="shared" si="366"/>
        <v>242000.00000000006</v>
      </c>
      <c r="H370" s="132"/>
    </row>
    <row r="371" spans="1:8" s="290" customFormat="1" outlineLevel="2">
      <c r="A371" s="382"/>
      <c r="B371" s="382"/>
      <c r="C371" s="386">
        <v>2211100</v>
      </c>
      <c r="D371" s="387" t="s">
        <v>49</v>
      </c>
      <c r="E371" s="388">
        <f>SUM(E372:E375)</f>
        <v>1416000</v>
      </c>
      <c r="F371" s="319">
        <f t="shared" ref="F371:G371" si="367">E371*1.1</f>
        <v>1557600.0000000002</v>
      </c>
      <c r="G371" s="319">
        <f t="shared" si="367"/>
        <v>1713360.0000000005</v>
      </c>
      <c r="H371" s="132"/>
    </row>
    <row r="372" spans="1:8" s="290" customFormat="1" ht="30" outlineLevel="2">
      <c r="A372" s="382"/>
      <c r="B372" s="382"/>
      <c r="C372" s="389">
        <v>2211101</v>
      </c>
      <c r="D372" s="340" t="s">
        <v>50</v>
      </c>
      <c r="E372" s="390">
        <v>380000</v>
      </c>
      <c r="F372" s="319">
        <f t="shared" ref="F372:G372" si="368">E372*1.1</f>
        <v>418000.00000000006</v>
      </c>
      <c r="G372" s="319">
        <f t="shared" si="368"/>
        <v>459800.00000000012</v>
      </c>
      <c r="H372" s="132"/>
    </row>
    <row r="373" spans="1:8" s="290" customFormat="1" outlineLevel="2">
      <c r="A373" s="382"/>
      <c r="B373" s="382"/>
      <c r="C373" s="389">
        <v>2211102</v>
      </c>
      <c r="D373" s="340" t="s">
        <v>51</v>
      </c>
      <c r="E373" s="390">
        <f>(580000+1000000-1000000)*0.2</f>
        <v>116000</v>
      </c>
      <c r="F373" s="319">
        <f t="shared" ref="F373:G373" si="369">E373*1.1</f>
        <v>127600.00000000001</v>
      </c>
      <c r="G373" s="319">
        <f t="shared" si="369"/>
        <v>140360.00000000003</v>
      </c>
      <c r="H373" s="132"/>
    </row>
    <row r="374" spans="1:8" s="290" customFormat="1" outlineLevel="2">
      <c r="A374" s="382"/>
      <c r="B374" s="382"/>
      <c r="C374" s="389">
        <v>2211103</v>
      </c>
      <c r="D374" s="340" t="s">
        <v>52</v>
      </c>
      <c r="E374" s="390">
        <v>80000</v>
      </c>
      <c r="F374" s="319">
        <f t="shared" ref="F374:G374" si="370">E374*1.1</f>
        <v>88000</v>
      </c>
      <c r="G374" s="319">
        <f t="shared" si="370"/>
        <v>96800.000000000015</v>
      </c>
      <c r="H374" s="132"/>
    </row>
    <row r="375" spans="1:8" s="290" customFormat="1" outlineLevel="2">
      <c r="A375" s="382"/>
      <c r="B375" s="382"/>
      <c r="C375" s="389" t="s">
        <v>131</v>
      </c>
      <c r="D375" s="340" t="s">
        <v>132</v>
      </c>
      <c r="E375" s="390">
        <v>840000</v>
      </c>
      <c r="F375" s="319">
        <f t="shared" ref="F375:G375" si="371">E375*1.1</f>
        <v>924000.00000000012</v>
      </c>
      <c r="G375" s="319">
        <f t="shared" si="371"/>
        <v>1016400.0000000002</v>
      </c>
      <c r="H375" s="132"/>
    </row>
    <row r="376" spans="1:8" s="290" customFormat="1" outlineLevel="2">
      <c r="A376" s="382"/>
      <c r="B376" s="382"/>
      <c r="C376" s="386">
        <v>2211200</v>
      </c>
      <c r="D376" s="387" t="s">
        <v>53</v>
      </c>
      <c r="E376" s="388">
        <f>SUM(E377)</f>
        <v>920000</v>
      </c>
      <c r="F376" s="319">
        <f t="shared" ref="F376:G376" si="372">E376*1.1</f>
        <v>1012000.0000000001</v>
      </c>
      <c r="G376" s="319">
        <f t="shared" si="372"/>
        <v>1113200.0000000002</v>
      </c>
      <c r="H376" s="132"/>
    </row>
    <row r="377" spans="1:8" s="290" customFormat="1" outlineLevel="2">
      <c r="A377" s="382"/>
      <c r="B377" s="382"/>
      <c r="C377" s="389">
        <v>2211201</v>
      </c>
      <c r="D377" s="340" t="s">
        <v>133</v>
      </c>
      <c r="E377" s="390">
        <v>920000</v>
      </c>
      <c r="F377" s="319">
        <f t="shared" ref="F377:G377" si="373">E377*1.1</f>
        <v>1012000.0000000001</v>
      </c>
      <c r="G377" s="319">
        <f t="shared" si="373"/>
        <v>1113200.0000000002</v>
      </c>
      <c r="H377" s="132"/>
    </row>
    <row r="378" spans="1:8" s="290" customFormat="1" outlineLevel="2">
      <c r="A378" s="382"/>
      <c r="B378" s="382"/>
      <c r="C378" s="386">
        <v>2211300</v>
      </c>
      <c r="D378" s="387" t="s">
        <v>55</v>
      </c>
      <c r="E378" s="388">
        <f>SUM(E379:E380)</f>
        <v>1280000</v>
      </c>
      <c r="F378" s="319">
        <f t="shared" ref="F378:G378" si="374">E378*1.1</f>
        <v>1408000</v>
      </c>
      <c r="G378" s="319">
        <f t="shared" si="374"/>
        <v>1548800.0000000002</v>
      </c>
      <c r="H378" s="132"/>
    </row>
    <row r="379" spans="1:8" s="290" customFormat="1" outlineLevel="2">
      <c r="A379" s="382"/>
      <c r="B379" s="382"/>
      <c r="C379" s="389">
        <v>2211320</v>
      </c>
      <c r="D379" s="340" t="s">
        <v>59</v>
      </c>
      <c r="E379" s="390">
        <v>160000</v>
      </c>
      <c r="F379" s="319">
        <f t="shared" ref="F379:G379" si="375">E379*1.1</f>
        <v>176000</v>
      </c>
      <c r="G379" s="319">
        <f t="shared" si="375"/>
        <v>193600.00000000003</v>
      </c>
      <c r="H379" s="132"/>
    </row>
    <row r="380" spans="1:8" s="290" customFormat="1" outlineLevel="2">
      <c r="A380" s="382"/>
      <c r="B380" s="382"/>
      <c r="C380" s="389">
        <v>2211399</v>
      </c>
      <c r="D380" s="340" t="s">
        <v>60</v>
      </c>
      <c r="E380" s="390">
        <v>1120000</v>
      </c>
      <c r="F380" s="319">
        <f t="shared" ref="F380:G380" si="376">E380*1.1</f>
        <v>1232000</v>
      </c>
      <c r="G380" s="319">
        <f t="shared" si="376"/>
        <v>1355200</v>
      </c>
      <c r="H380" s="132"/>
    </row>
    <row r="381" spans="1:8" s="290" customFormat="1" ht="30" outlineLevel="2">
      <c r="A381" s="382"/>
      <c r="B381" s="382"/>
      <c r="C381" s="386">
        <v>2220100</v>
      </c>
      <c r="D381" s="387" t="s">
        <v>61</v>
      </c>
      <c r="E381" s="388">
        <f>SUM(E382:E383)</f>
        <v>750000</v>
      </c>
      <c r="F381" s="319">
        <f t="shared" ref="F381:G381" si="377">E381*1.1</f>
        <v>825000.00000000012</v>
      </c>
      <c r="G381" s="319">
        <f t="shared" si="377"/>
        <v>907500.00000000023</v>
      </c>
      <c r="H381" s="132"/>
    </row>
    <row r="382" spans="1:8" s="290" customFormat="1" outlineLevel="2">
      <c r="A382" s="382"/>
      <c r="B382" s="382"/>
      <c r="C382" s="389">
        <v>2220101</v>
      </c>
      <c r="D382" s="340" t="s">
        <v>62</v>
      </c>
      <c r="E382" s="390">
        <v>390000</v>
      </c>
      <c r="F382" s="319">
        <f t="shared" ref="F382:G382" si="378">E382*1.1</f>
        <v>429000.00000000006</v>
      </c>
      <c r="G382" s="319">
        <f t="shared" si="378"/>
        <v>471900.00000000012</v>
      </c>
      <c r="H382" s="132"/>
    </row>
    <row r="383" spans="1:8" s="290" customFormat="1" outlineLevel="2">
      <c r="A383" s="382"/>
      <c r="B383" s="382"/>
      <c r="C383" s="389">
        <v>2220105</v>
      </c>
      <c r="D383" s="340" t="s">
        <v>64</v>
      </c>
      <c r="E383" s="390">
        <v>360000</v>
      </c>
      <c r="F383" s="319">
        <f t="shared" ref="F383:G383" si="379">E383*1.1</f>
        <v>396000.00000000006</v>
      </c>
      <c r="G383" s="319">
        <f t="shared" si="379"/>
        <v>435600.00000000012</v>
      </c>
      <c r="H383" s="132"/>
    </row>
    <row r="384" spans="1:8" s="290" customFormat="1" outlineLevel="2">
      <c r="A384" s="382"/>
      <c r="B384" s="382"/>
      <c r="C384" s="386">
        <v>3110900</v>
      </c>
      <c r="D384" s="387" t="s">
        <v>134</v>
      </c>
      <c r="E384" s="388">
        <f>SUM(E385:E385)</f>
        <v>89000</v>
      </c>
      <c r="F384" s="319">
        <f t="shared" ref="F384:G384" si="380">E384*1.1</f>
        <v>97900.000000000015</v>
      </c>
      <c r="G384" s="319">
        <f t="shared" si="380"/>
        <v>107690.00000000003</v>
      </c>
      <c r="H384" s="132"/>
    </row>
    <row r="385" spans="1:8" s="290" customFormat="1" outlineLevel="2">
      <c r="A385" s="382"/>
      <c r="B385" s="382"/>
      <c r="C385" s="389">
        <v>3111003</v>
      </c>
      <c r="D385" s="340" t="s">
        <v>135</v>
      </c>
      <c r="E385" s="390">
        <v>89000</v>
      </c>
      <c r="F385" s="319">
        <f t="shared" ref="F385:G385" si="381">E385*1.1</f>
        <v>97900.000000000015</v>
      </c>
      <c r="G385" s="319">
        <f t="shared" si="381"/>
        <v>107690.00000000003</v>
      </c>
      <c r="H385" s="132"/>
    </row>
    <row r="386" spans="1:8" s="290" customFormat="1" outlineLevel="2">
      <c r="A386" s="382"/>
      <c r="B386" s="382"/>
      <c r="C386" s="386">
        <v>3111000</v>
      </c>
      <c r="D386" s="387" t="s">
        <v>65</v>
      </c>
      <c r="E386" s="388">
        <f>E387+E388</f>
        <v>1640000</v>
      </c>
      <c r="F386" s="319">
        <f t="shared" ref="F386:G386" si="382">E386*1.1</f>
        <v>1804000.0000000002</v>
      </c>
      <c r="G386" s="319">
        <f t="shared" si="382"/>
        <v>1984400.0000000005</v>
      </c>
      <c r="H386" s="132"/>
    </row>
    <row r="387" spans="1:8" s="290" customFormat="1" outlineLevel="2">
      <c r="A387" s="382"/>
      <c r="B387" s="382"/>
      <c r="C387" s="389">
        <v>3111001</v>
      </c>
      <c r="D387" s="340" t="s">
        <v>66</v>
      </c>
      <c r="E387" s="390">
        <v>720000</v>
      </c>
      <c r="F387" s="319">
        <f t="shared" ref="F387:G387" si="383">E387*1.1</f>
        <v>792000.00000000012</v>
      </c>
      <c r="G387" s="319">
        <f t="shared" si="383"/>
        <v>871200.00000000023</v>
      </c>
      <c r="H387" s="132"/>
    </row>
    <row r="388" spans="1:8" s="290" customFormat="1" outlineLevel="2">
      <c r="A388" s="382"/>
      <c r="B388" s="382"/>
      <c r="C388" s="389">
        <v>3111002</v>
      </c>
      <c r="D388" s="340" t="s">
        <v>67</v>
      </c>
      <c r="E388" s="390">
        <v>920000</v>
      </c>
      <c r="F388" s="319">
        <f t="shared" ref="F388:G388" si="384">E388*1.1</f>
        <v>1012000.0000000001</v>
      </c>
      <c r="G388" s="319">
        <f t="shared" si="384"/>
        <v>1113200.0000000002</v>
      </c>
      <c r="H388" s="132"/>
    </row>
    <row r="389" spans="1:8" s="290" customFormat="1" outlineLevel="1">
      <c r="A389" s="382"/>
      <c r="B389" s="382"/>
      <c r="C389" s="391"/>
      <c r="D389" s="392" t="s">
        <v>70</v>
      </c>
      <c r="E389" s="393">
        <f>E386+E384+E381+E378+E376+E371+E368+E361+E356+E352+E347+E343+E340</f>
        <v>13165000</v>
      </c>
      <c r="F389" s="319">
        <f t="shared" ref="F389:G389" si="385">E389*1.1</f>
        <v>14481500.000000002</v>
      </c>
      <c r="G389" s="319">
        <f t="shared" si="385"/>
        <v>15929650.000000004</v>
      </c>
      <c r="H389" s="132"/>
    </row>
    <row r="390" spans="1:8" s="290" customFormat="1" outlineLevel="1">
      <c r="A390" s="382"/>
      <c r="B390" s="382"/>
      <c r="C390" s="385"/>
      <c r="D390" s="385"/>
      <c r="E390" s="382"/>
      <c r="F390" s="319">
        <f t="shared" ref="F390:G390" si="386">E390*1.1</f>
        <v>0</v>
      </c>
      <c r="G390" s="319">
        <f t="shared" si="386"/>
        <v>0</v>
      </c>
      <c r="H390" s="132"/>
    </row>
    <row r="391" spans="1:8" s="290" customFormat="1" outlineLevel="1">
      <c r="A391" s="382"/>
      <c r="B391" s="382"/>
      <c r="C391" s="394" t="s">
        <v>136</v>
      </c>
      <c r="D391" s="395"/>
      <c r="E391" s="382"/>
      <c r="F391" s="319">
        <f t="shared" ref="F391:G391" si="387">E391*1.1</f>
        <v>0</v>
      </c>
      <c r="G391" s="319">
        <f t="shared" si="387"/>
        <v>0</v>
      </c>
      <c r="H391" s="132"/>
    </row>
    <row r="392" spans="1:8" s="290" customFormat="1" outlineLevel="1">
      <c r="A392" s="382"/>
      <c r="B392" s="382"/>
      <c r="C392" s="394" t="s">
        <v>136</v>
      </c>
      <c r="D392" s="395"/>
      <c r="E392" s="382"/>
      <c r="F392" s="319">
        <f t="shared" ref="F392:G392" si="388">E392*1.1</f>
        <v>0</v>
      </c>
      <c r="G392" s="319">
        <f t="shared" si="388"/>
        <v>0</v>
      </c>
      <c r="H392" s="132"/>
    </row>
    <row r="393" spans="1:8" s="290" customFormat="1" outlineLevel="2">
      <c r="A393" s="382"/>
      <c r="B393" s="382"/>
      <c r="C393" s="386">
        <v>2210100</v>
      </c>
      <c r="D393" s="387" t="s">
        <v>16</v>
      </c>
      <c r="E393" s="388">
        <f>E394+E395</f>
        <v>138000</v>
      </c>
      <c r="F393" s="319">
        <f t="shared" ref="F393:G393" si="389">E393*1.1</f>
        <v>151800</v>
      </c>
      <c r="G393" s="319">
        <f t="shared" si="389"/>
        <v>166980</v>
      </c>
      <c r="H393" s="132"/>
    </row>
    <row r="394" spans="1:8" s="290" customFormat="1" outlineLevel="2">
      <c r="A394" s="382"/>
      <c r="B394" s="382"/>
      <c r="C394" s="389">
        <v>2210101</v>
      </c>
      <c r="D394" s="340" t="s">
        <v>17</v>
      </c>
      <c r="E394" s="390">
        <v>80000</v>
      </c>
      <c r="F394" s="319">
        <f t="shared" ref="F394:G394" si="390">E394*1.1</f>
        <v>88000</v>
      </c>
      <c r="G394" s="319">
        <f t="shared" si="390"/>
        <v>96800.000000000015</v>
      </c>
      <c r="H394" s="132"/>
    </row>
    <row r="395" spans="1:8" s="290" customFormat="1" outlineLevel="2">
      <c r="A395" s="382"/>
      <c r="B395" s="382"/>
      <c r="C395" s="389">
        <v>2210102</v>
      </c>
      <c r="D395" s="340" t="s">
        <v>18</v>
      </c>
      <c r="E395" s="390">
        <v>58000</v>
      </c>
      <c r="F395" s="319">
        <f t="shared" ref="F395:G395" si="391">E395*1.1</f>
        <v>63800.000000000007</v>
      </c>
      <c r="G395" s="319">
        <f t="shared" si="391"/>
        <v>70180.000000000015</v>
      </c>
      <c r="H395" s="132"/>
    </row>
    <row r="396" spans="1:8" s="290" customFormat="1" outlineLevel="2">
      <c r="A396" s="382"/>
      <c r="B396" s="382"/>
      <c r="C396" s="386">
        <v>2210200</v>
      </c>
      <c r="D396" s="387" t="s">
        <v>19</v>
      </c>
      <c r="E396" s="388">
        <f>E397+E398+E399</f>
        <v>318000</v>
      </c>
      <c r="F396" s="319">
        <f t="shared" ref="F396:G396" si="392">E396*1.1</f>
        <v>349800</v>
      </c>
      <c r="G396" s="319">
        <f t="shared" si="392"/>
        <v>384780.00000000006</v>
      </c>
      <c r="H396" s="132"/>
    </row>
    <row r="397" spans="1:8" s="290" customFormat="1" outlineLevel="2">
      <c r="A397" s="382"/>
      <c r="B397" s="382"/>
      <c r="C397" s="389">
        <v>2210201</v>
      </c>
      <c r="D397" s="340" t="s">
        <v>20</v>
      </c>
      <c r="E397" s="390">
        <v>180000</v>
      </c>
      <c r="F397" s="319">
        <f t="shared" ref="F397:G397" si="393">E397*1.1</f>
        <v>198000.00000000003</v>
      </c>
      <c r="G397" s="319">
        <f t="shared" si="393"/>
        <v>217800.00000000006</v>
      </c>
      <c r="H397" s="132"/>
    </row>
    <row r="398" spans="1:8" s="290" customFormat="1" outlineLevel="2">
      <c r="A398" s="382"/>
      <c r="B398" s="382"/>
      <c r="C398" s="389">
        <v>2210202</v>
      </c>
      <c r="D398" s="340" t="s">
        <v>21</v>
      </c>
      <c r="E398" s="390">
        <v>58000</v>
      </c>
      <c r="F398" s="319">
        <f t="shared" ref="F398:G398" si="394">E398*1.1</f>
        <v>63800.000000000007</v>
      </c>
      <c r="G398" s="319">
        <f t="shared" si="394"/>
        <v>70180.000000000015</v>
      </c>
      <c r="H398" s="132"/>
    </row>
    <row r="399" spans="1:8" s="290" customFormat="1" outlineLevel="2">
      <c r="A399" s="382"/>
      <c r="B399" s="382"/>
      <c r="C399" s="389">
        <v>2210203</v>
      </c>
      <c r="D399" s="340" t="s">
        <v>22</v>
      </c>
      <c r="E399" s="390">
        <v>80000</v>
      </c>
      <c r="F399" s="319">
        <f t="shared" ref="F399:G399" si="395">E399*1.1</f>
        <v>88000</v>
      </c>
      <c r="G399" s="319">
        <f t="shared" si="395"/>
        <v>96800.000000000015</v>
      </c>
      <c r="H399" s="132"/>
    </row>
    <row r="400" spans="1:8" s="290" customFormat="1" ht="30" outlineLevel="2">
      <c r="A400" s="382"/>
      <c r="B400" s="382"/>
      <c r="C400" s="386">
        <v>2210300</v>
      </c>
      <c r="D400" s="387" t="s">
        <v>23</v>
      </c>
      <c r="E400" s="388">
        <f>SUM(E401:E404)</f>
        <v>600000</v>
      </c>
      <c r="F400" s="319">
        <f t="shared" ref="F400:G400" si="396">E400*1.1</f>
        <v>660000</v>
      </c>
      <c r="G400" s="319">
        <f t="shared" si="396"/>
        <v>726000.00000000012</v>
      </c>
      <c r="H400" s="132"/>
    </row>
    <row r="401" spans="1:8" s="290" customFormat="1" outlineLevel="2">
      <c r="A401" s="382"/>
      <c r="B401" s="382"/>
      <c r="C401" s="389">
        <v>2210301</v>
      </c>
      <c r="D401" s="340" t="s">
        <v>24</v>
      </c>
      <c r="E401" s="390">
        <v>120000</v>
      </c>
      <c r="F401" s="319">
        <f t="shared" ref="F401:G401" si="397">E401*1.1</f>
        <v>132000</v>
      </c>
      <c r="G401" s="319">
        <f t="shared" si="397"/>
        <v>145200</v>
      </c>
      <c r="H401" s="132"/>
    </row>
    <row r="402" spans="1:8" s="290" customFormat="1" outlineLevel="2">
      <c r="A402" s="382"/>
      <c r="B402" s="382"/>
      <c r="C402" s="389">
        <v>2210302</v>
      </c>
      <c r="D402" s="340" t="s">
        <v>25</v>
      </c>
      <c r="E402" s="390">
        <v>220000</v>
      </c>
      <c r="F402" s="319">
        <f t="shared" ref="F402:G402" si="398">E402*1.1</f>
        <v>242000.00000000003</v>
      </c>
      <c r="G402" s="319">
        <f t="shared" si="398"/>
        <v>266200.00000000006</v>
      </c>
      <c r="H402" s="132"/>
    </row>
    <row r="403" spans="1:8" s="290" customFormat="1" outlineLevel="2">
      <c r="A403" s="382"/>
      <c r="B403" s="382"/>
      <c r="C403" s="389">
        <v>2210303</v>
      </c>
      <c r="D403" s="340" t="s">
        <v>26</v>
      </c>
      <c r="E403" s="390">
        <v>180000</v>
      </c>
      <c r="F403" s="319">
        <f t="shared" ref="F403:G403" si="399">E403*1.1</f>
        <v>198000.00000000003</v>
      </c>
      <c r="G403" s="319">
        <f t="shared" si="399"/>
        <v>217800.00000000006</v>
      </c>
      <c r="H403" s="132"/>
    </row>
    <row r="404" spans="1:8" s="290" customFormat="1" outlineLevel="2">
      <c r="A404" s="382"/>
      <c r="B404" s="382"/>
      <c r="C404" s="389">
        <v>2210304</v>
      </c>
      <c r="D404" s="340" t="s">
        <v>27</v>
      </c>
      <c r="E404" s="390">
        <v>80000</v>
      </c>
      <c r="F404" s="319">
        <f t="shared" ref="F404:G404" si="400">E404*1.1</f>
        <v>88000</v>
      </c>
      <c r="G404" s="319">
        <f t="shared" si="400"/>
        <v>96800.000000000015</v>
      </c>
      <c r="H404" s="132"/>
    </row>
    <row r="405" spans="1:8" s="290" customFormat="1" outlineLevel="2">
      <c r="A405" s="382"/>
      <c r="B405" s="382"/>
      <c r="C405" s="386">
        <v>2210400</v>
      </c>
      <c r="D405" s="387" t="s">
        <v>28</v>
      </c>
      <c r="E405" s="388">
        <f>SUM(E406:E408)</f>
        <v>360000</v>
      </c>
      <c r="F405" s="319">
        <f t="shared" ref="F405:G405" si="401">E405*1.1</f>
        <v>396000.00000000006</v>
      </c>
      <c r="G405" s="319">
        <f t="shared" si="401"/>
        <v>435600.00000000012</v>
      </c>
      <c r="H405" s="132"/>
    </row>
    <row r="406" spans="1:8" s="290" customFormat="1" outlineLevel="2">
      <c r="A406" s="382"/>
      <c r="B406" s="382"/>
      <c r="C406" s="389">
        <v>2210401</v>
      </c>
      <c r="D406" s="340" t="s">
        <v>24</v>
      </c>
      <c r="E406" s="390">
        <v>116000</v>
      </c>
      <c r="F406" s="319">
        <f t="shared" ref="F406:G406" si="402">E406*1.1</f>
        <v>127600.00000000001</v>
      </c>
      <c r="G406" s="319">
        <f t="shared" si="402"/>
        <v>140360.00000000003</v>
      </c>
      <c r="H406" s="132"/>
    </row>
    <row r="407" spans="1:8" s="290" customFormat="1" outlineLevel="2">
      <c r="A407" s="382"/>
      <c r="B407" s="382"/>
      <c r="C407" s="389">
        <v>2210402</v>
      </c>
      <c r="D407" s="340" t="s">
        <v>29</v>
      </c>
      <c r="E407" s="390">
        <v>186000</v>
      </c>
      <c r="F407" s="319">
        <f t="shared" ref="F407:G407" si="403">E407*1.1</f>
        <v>204600.00000000003</v>
      </c>
      <c r="G407" s="319">
        <f t="shared" si="403"/>
        <v>225060.00000000006</v>
      </c>
      <c r="H407" s="132"/>
    </row>
    <row r="408" spans="1:8" s="290" customFormat="1" outlineLevel="2">
      <c r="A408" s="382"/>
      <c r="B408" s="382"/>
      <c r="C408" s="389">
        <v>2210404</v>
      </c>
      <c r="D408" s="340" t="s">
        <v>27</v>
      </c>
      <c r="E408" s="390">
        <v>58000</v>
      </c>
      <c r="F408" s="319">
        <f t="shared" ref="F408:G408" si="404">E408*1.1</f>
        <v>63800.000000000007</v>
      </c>
      <c r="G408" s="319">
        <f t="shared" si="404"/>
        <v>70180.000000000015</v>
      </c>
      <c r="H408" s="132"/>
    </row>
    <row r="409" spans="1:8" s="290" customFormat="1" outlineLevel="2">
      <c r="A409" s="382"/>
      <c r="B409" s="382"/>
      <c r="C409" s="386">
        <v>2210500</v>
      </c>
      <c r="D409" s="387" t="s">
        <v>30</v>
      </c>
      <c r="E409" s="388">
        <f>SUM(E410:E413)</f>
        <v>1160900</v>
      </c>
      <c r="F409" s="319">
        <f t="shared" ref="F409:G409" si="405">E409*1.1</f>
        <v>1276990</v>
      </c>
      <c r="G409" s="319">
        <f t="shared" si="405"/>
        <v>1404689</v>
      </c>
      <c r="H409" s="132"/>
    </row>
    <row r="410" spans="1:8" s="290" customFormat="1" outlineLevel="2">
      <c r="A410" s="382"/>
      <c r="B410" s="382"/>
      <c r="C410" s="389">
        <v>2210503</v>
      </c>
      <c r="D410" s="340" t="s">
        <v>31</v>
      </c>
      <c r="E410" s="390">
        <v>180000</v>
      </c>
      <c r="F410" s="319">
        <f t="shared" ref="F410:G410" si="406">E410*1.1</f>
        <v>198000.00000000003</v>
      </c>
      <c r="G410" s="319">
        <f t="shared" si="406"/>
        <v>217800.00000000006</v>
      </c>
      <c r="H410" s="132"/>
    </row>
    <row r="411" spans="1:8" s="290" customFormat="1" outlineLevel="2">
      <c r="A411" s="382"/>
      <c r="B411" s="382"/>
      <c r="C411" s="389">
        <v>2210504</v>
      </c>
      <c r="D411" s="340" t="s">
        <v>32</v>
      </c>
      <c r="E411" s="390">
        <v>120000</v>
      </c>
      <c r="F411" s="319">
        <f t="shared" ref="F411:G411" si="407">E411*1.1</f>
        <v>132000</v>
      </c>
      <c r="G411" s="319">
        <f t="shared" si="407"/>
        <v>145200</v>
      </c>
      <c r="H411" s="132"/>
    </row>
    <row r="412" spans="1:8" s="290" customFormat="1" outlineLevel="2">
      <c r="A412" s="382"/>
      <c r="B412" s="382"/>
      <c r="C412" s="389" t="s">
        <v>128</v>
      </c>
      <c r="D412" s="340" t="s">
        <v>129</v>
      </c>
      <c r="E412" s="390">
        <v>620000</v>
      </c>
      <c r="F412" s="319">
        <f t="shared" ref="F412:G412" si="408">E412*1.1</f>
        <v>682000</v>
      </c>
      <c r="G412" s="319">
        <f t="shared" si="408"/>
        <v>750200.00000000012</v>
      </c>
      <c r="H412" s="132"/>
    </row>
    <row r="413" spans="1:8" s="290" customFormat="1" outlineLevel="2">
      <c r="A413" s="382"/>
      <c r="B413" s="382"/>
      <c r="C413" s="389">
        <v>2210599</v>
      </c>
      <c r="D413" s="340" t="s">
        <v>33</v>
      </c>
      <c r="E413" s="390">
        <v>240900</v>
      </c>
      <c r="F413" s="319">
        <f t="shared" ref="F413:G413" si="409">E413*1.1</f>
        <v>264990</v>
      </c>
      <c r="G413" s="319">
        <f t="shared" si="409"/>
        <v>291489</v>
      </c>
      <c r="H413" s="132"/>
    </row>
    <row r="414" spans="1:8" s="290" customFormat="1" outlineLevel="2">
      <c r="A414" s="382"/>
      <c r="B414" s="382"/>
      <c r="C414" s="386">
        <v>2210700</v>
      </c>
      <c r="D414" s="387" t="s">
        <v>34</v>
      </c>
      <c r="E414" s="388">
        <f>SUM(E415:E420)</f>
        <v>948200</v>
      </c>
      <c r="F414" s="319">
        <f t="shared" ref="F414:G414" si="410">E414*1.1</f>
        <v>1043020.0000000001</v>
      </c>
      <c r="G414" s="319">
        <f t="shared" si="410"/>
        <v>1147322.0000000002</v>
      </c>
      <c r="H414" s="132"/>
    </row>
    <row r="415" spans="1:8" s="290" customFormat="1" outlineLevel="2">
      <c r="A415" s="382"/>
      <c r="B415" s="382"/>
      <c r="C415" s="389">
        <v>2210701</v>
      </c>
      <c r="D415" s="340" t="s">
        <v>35</v>
      </c>
      <c r="E415" s="390">
        <v>329000</v>
      </c>
      <c r="F415" s="319">
        <f t="shared" ref="F415:G415" si="411">E415*1.1</f>
        <v>361900.00000000006</v>
      </c>
      <c r="G415" s="319">
        <f t="shared" si="411"/>
        <v>398090.00000000012</v>
      </c>
      <c r="H415" s="132"/>
    </row>
    <row r="416" spans="1:8" s="290" customFormat="1" outlineLevel="2">
      <c r="A416" s="382"/>
      <c r="B416" s="382"/>
      <c r="C416" s="389">
        <v>2210702</v>
      </c>
      <c r="D416" s="340" t="s">
        <v>36</v>
      </c>
      <c r="E416" s="390">
        <v>86000</v>
      </c>
      <c r="F416" s="319">
        <f t="shared" ref="F416:G416" si="412">E416*1.1</f>
        <v>94600.000000000015</v>
      </c>
      <c r="G416" s="319">
        <f t="shared" si="412"/>
        <v>104060.00000000003</v>
      </c>
      <c r="H416" s="132"/>
    </row>
    <row r="417" spans="1:8" s="290" customFormat="1" outlineLevel="2">
      <c r="A417" s="382"/>
      <c r="B417" s="382"/>
      <c r="C417" s="389">
        <v>2210704</v>
      </c>
      <c r="D417" s="340" t="s">
        <v>37</v>
      </c>
      <c r="E417" s="390">
        <v>60000</v>
      </c>
      <c r="F417" s="319">
        <f t="shared" ref="F417:G417" si="413">E417*1.1</f>
        <v>66000</v>
      </c>
      <c r="G417" s="319">
        <f t="shared" si="413"/>
        <v>72600</v>
      </c>
      <c r="H417" s="132"/>
    </row>
    <row r="418" spans="1:8" s="290" customFormat="1" outlineLevel="2">
      <c r="A418" s="382"/>
      <c r="B418" s="382"/>
      <c r="C418" s="389">
        <v>2210710</v>
      </c>
      <c r="D418" s="340" t="s">
        <v>38</v>
      </c>
      <c r="E418" s="390">
        <v>230000</v>
      </c>
      <c r="F418" s="319">
        <f t="shared" ref="F418:G418" si="414">E418*1.1</f>
        <v>253000.00000000003</v>
      </c>
      <c r="G418" s="319">
        <f t="shared" si="414"/>
        <v>278300.00000000006</v>
      </c>
      <c r="H418" s="132"/>
    </row>
    <row r="419" spans="1:8" s="290" customFormat="1" outlineLevel="2">
      <c r="A419" s="382"/>
      <c r="B419" s="382"/>
      <c r="C419" s="389">
        <v>2210715</v>
      </c>
      <c r="D419" s="340" t="s">
        <v>39</v>
      </c>
      <c r="E419" s="390">
        <v>188000</v>
      </c>
      <c r="F419" s="319">
        <f t="shared" ref="F419:G419" si="415">E419*1.1</f>
        <v>206800.00000000003</v>
      </c>
      <c r="G419" s="319">
        <f t="shared" si="415"/>
        <v>227480.00000000006</v>
      </c>
      <c r="H419" s="132"/>
    </row>
    <row r="420" spans="1:8" s="290" customFormat="1" outlineLevel="2">
      <c r="A420" s="382"/>
      <c r="B420" s="382"/>
      <c r="C420" s="389">
        <v>2210799</v>
      </c>
      <c r="D420" s="340" t="s">
        <v>40</v>
      </c>
      <c r="E420" s="390">
        <v>55200</v>
      </c>
      <c r="F420" s="319">
        <f t="shared" ref="F420:G420" si="416">E420*1.1</f>
        <v>60720.000000000007</v>
      </c>
      <c r="G420" s="319">
        <f t="shared" si="416"/>
        <v>66792.000000000015</v>
      </c>
      <c r="H420" s="132"/>
    </row>
    <row r="421" spans="1:8" s="290" customFormat="1" outlineLevel="2">
      <c r="A421" s="382"/>
      <c r="B421" s="382"/>
      <c r="C421" s="386">
        <v>2210800</v>
      </c>
      <c r="D421" s="387" t="s">
        <v>41</v>
      </c>
      <c r="E421" s="388">
        <f>SUM(E422:E423)</f>
        <v>838000</v>
      </c>
      <c r="F421" s="319">
        <f t="shared" ref="F421:G421" si="417">E421*1.1</f>
        <v>921800.00000000012</v>
      </c>
      <c r="G421" s="319">
        <f t="shared" si="417"/>
        <v>1013980.0000000002</v>
      </c>
      <c r="H421" s="132"/>
    </row>
    <row r="422" spans="1:8" s="290" customFormat="1" ht="30" outlineLevel="2">
      <c r="A422" s="382"/>
      <c r="B422" s="382"/>
      <c r="C422" s="389">
        <v>2210801</v>
      </c>
      <c r="D422" s="340" t="s">
        <v>42</v>
      </c>
      <c r="E422" s="390">
        <v>380000</v>
      </c>
      <c r="F422" s="319">
        <f t="shared" ref="F422:G422" si="418">E422*1.1</f>
        <v>418000.00000000006</v>
      </c>
      <c r="G422" s="319">
        <f t="shared" si="418"/>
        <v>459800.00000000012</v>
      </c>
      <c r="H422" s="132"/>
    </row>
    <row r="423" spans="1:8" s="290" customFormat="1" outlineLevel="2">
      <c r="A423" s="382"/>
      <c r="B423" s="382"/>
      <c r="C423" s="389">
        <v>2210802</v>
      </c>
      <c r="D423" s="340" t="s">
        <v>43</v>
      </c>
      <c r="E423" s="390">
        <v>458000</v>
      </c>
      <c r="F423" s="319">
        <f t="shared" ref="F423:G423" si="419">E423*1.1</f>
        <v>503800.00000000006</v>
      </c>
      <c r="G423" s="319">
        <f t="shared" si="419"/>
        <v>554180.00000000012</v>
      </c>
      <c r="H423" s="132"/>
    </row>
    <row r="424" spans="1:8" s="290" customFormat="1" outlineLevel="2">
      <c r="A424" s="382"/>
      <c r="B424" s="382"/>
      <c r="C424" s="386">
        <v>2211100</v>
      </c>
      <c r="D424" s="387" t="s">
        <v>49</v>
      </c>
      <c r="E424" s="388">
        <f>SUM(E425:E428)</f>
        <v>878000</v>
      </c>
      <c r="F424" s="319">
        <f t="shared" ref="F424:G424" si="420">E424*1.1</f>
        <v>965800.00000000012</v>
      </c>
      <c r="G424" s="319">
        <f t="shared" si="420"/>
        <v>1062380.0000000002</v>
      </c>
      <c r="H424" s="132"/>
    </row>
    <row r="425" spans="1:8" s="290" customFormat="1" ht="30" outlineLevel="2">
      <c r="A425" s="382"/>
      <c r="B425" s="382"/>
      <c r="C425" s="389">
        <v>2211101</v>
      </c>
      <c r="D425" s="340" t="s">
        <v>50</v>
      </c>
      <c r="E425" s="390">
        <v>116000</v>
      </c>
      <c r="F425" s="319">
        <f t="shared" ref="F425:G425" si="421">E425*1.1</f>
        <v>127600.00000000001</v>
      </c>
      <c r="G425" s="319">
        <f t="shared" si="421"/>
        <v>140360.00000000003</v>
      </c>
      <c r="H425" s="132"/>
    </row>
    <row r="426" spans="1:8" s="290" customFormat="1" outlineLevel="2">
      <c r="A426" s="382"/>
      <c r="B426" s="382"/>
      <c r="C426" s="389">
        <v>2211102</v>
      </c>
      <c r="D426" s="340" t="s">
        <v>51</v>
      </c>
      <c r="E426" s="390">
        <v>116000</v>
      </c>
      <c r="F426" s="319">
        <f t="shared" ref="F426:G426" si="422">E426*1.1</f>
        <v>127600.00000000001</v>
      </c>
      <c r="G426" s="319">
        <f t="shared" si="422"/>
        <v>140360.00000000003</v>
      </c>
      <c r="H426" s="132"/>
    </row>
    <row r="427" spans="1:8" s="290" customFormat="1" outlineLevel="2">
      <c r="A427" s="382"/>
      <c r="B427" s="382"/>
      <c r="C427" s="389">
        <v>2211103</v>
      </c>
      <c r="D427" s="340" t="s">
        <v>52</v>
      </c>
      <c r="E427" s="390">
        <v>106000</v>
      </c>
      <c r="F427" s="319">
        <f t="shared" ref="F427:G427" si="423">E427*1.1</f>
        <v>116600.00000000001</v>
      </c>
      <c r="G427" s="319">
        <f t="shared" si="423"/>
        <v>128260.00000000003</v>
      </c>
      <c r="H427" s="132"/>
    </row>
    <row r="428" spans="1:8" s="290" customFormat="1" outlineLevel="2">
      <c r="A428" s="382"/>
      <c r="B428" s="382"/>
      <c r="C428" s="389" t="s">
        <v>131</v>
      </c>
      <c r="D428" s="340" t="s">
        <v>132</v>
      </c>
      <c r="E428" s="390">
        <v>540000</v>
      </c>
      <c r="F428" s="319">
        <f t="shared" ref="F428:G428" si="424">E428*1.1</f>
        <v>594000</v>
      </c>
      <c r="G428" s="319">
        <f t="shared" si="424"/>
        <v>653400</v>
      </c>
      <c r="H428" s="132"/>
    </row>
    <row r="429" spans="1:8" s="290" customFormat="1" outlineLevel="2">
      <c r="A429" s="382"/>
      <c r="B429" s="382"/>
      <c r="C429" s="386">
        <v>2211200</v>
      </c>
      <c r="D429" s="387" t="s">
        <v>53</v>
      </c>
      <c r="E429" s="388">
        <f>SUM(E430)</f>
        <v>840000</v>
      </c>
      <c r="F429" s="319">
        <f t="shared" ref="F429:G429" si="425">E429*1.1</f>
        <v>924000.00000000012</v>
      </c>
      <c r="G429" s="319">
        <f t="shared" si="425"/>
        <v>1016400.0000000002</v>
      </c>
      <c r="H429" s="132"/>
    </row>
    <row r="430" spans="1:8" s="290" customFormat="1" outlineLevel="2">
      <c r="A430" s="382"/>
      <c r="B430" s="382"/>
      <c r="C430" s="389">
        <v>2211201</v>
      </c>
      <c r="D430" s="340" t="s">
        <v>91</v>
      </c>
      <c r="E430" s="390">
        <v>840000</v>
      </c>
      <c r="F430" s="319">
        <f t="shared" ref="F430:G430" si="426">E430*1.1</f>
        <v>924000.00000000012</v>
      </c>
      <c r="G430" s="319">
        <f t="shared" si="426"/>
        <v>1016400.0000000002</v>
      </c>
      <c r="H430" s="132"/>
    </row>
    <row r="431" spans="1:8" s="290" customFormat="1" outlineLevel="2">
      <c r="A431" s="382"/>
      <c r="B431" s="382"/>
      <c r="C431" s="386">
        <v>2211300</v>
      </c>
      <c r="D431" s="387" t="s">
        <v>55</v>
      </c>
      <c r="E431" s="388">
        <f>SUM(E432:E433)</f>
        <v>860000</v>
      </c>
      <c r="F431" s="319">
        <f t="shared" ref="F431:G431" si="427">E431*1.1</f>
        <v>946000.00000000012</v>
      </c>
      <c r="G431" s="319">
        <f t="shared" si="427"/>
        <v>1040600.0000000002</v>
      </c>
      <c r="H431" s="132"/>
    </row>
    <row r="432" spans="1:8" s="290" customFormat="1" outlineLevel="2">
      <c r="A432" s="382"/>
      <c r="B432" s="382"/>
      <c r="C432" s="389">
        <v>2211320</v>
      </c>
      <c r="D432" s="340" t="s">
        <v>59</v>
      </c>
      <c r="E432" s="390">
        <v>420000</v>
      </c>
      <c r="F432" s="319">
        <f t="shared" ref="F432:G432" si="428">E432*1.1</f>
        <v>462000.00000000006</v>
      </c>
      <c r="G432" s="319">
        <f t="shared" si="428"/>
        <v>508200.00000000012</v>
      </c>
      <c r="H432" s="132"/>
    </row>
    <row r="433" spans="1:8" s="290" customFormat="1" outlineLevel="2">
      <c r="A433" s="382"/>
      <c r="B433" s="382"/>
      <c r="C433" s="389">
        <v>2211399</v>
      </c>
      <c r="D433" s="340" t="s">
        <v>60</v>
      </c>
      <c r="E433" s="390">
        <v>440000</v>
      </c>
      <c r="F433" s="319">
        <f t="shared" ref="F433:G433" si="429">E433*1.1</f>
        <v>484000.00000000006</v>
      </c>
      <c r="G433" s="319">
        <f t="shared" si="429"/>
        <v>532400.00000000012</v>
      </c>
      <c r="H433" s="132"/>
    </row>
    <row r="434" spans="1:8" s="290" customFormat="1" ht="30" outlineLevel="2">
      <c r="A434" s="382"/>
      <c r="B434" s="382"/>
      <c r="C434" s="386">
        <v>2220100</v>
      </c>
      <c r="D434" s="387" t="s">
        <v>61</v>
      </c>
      <c r="E434" s="388">
        <f>SUM(E435:E436)</f>
        <v>400000</v>
      </c>
      <c r="F434" s="319">
        <f t="shared" ref="F434:G434" si="430">E434*1.1</f>
        <v>440000.00000000006</v>
      </c>
      <c r="G434" s="319">
        <f t="shared" si="430"/>
        <v>484000.00000000012</v>
      </c>
      <c r="H434" s="132"/>
    </row>
    <row r="435" spans="1:8" s="290" customFormat="1" outlineLevel="2">
      <c r="A435" s="382"/>
      <c r="B435" s="382"/>
      <c r="C435" s="389">
        <v>2220101</v>
      </c>
      <c r="D435" s="340" t="s">
        <v>62</v>
      </c>
      <c r="E435" s="390">
        <v>280000</v>
      </c>
      <c r="F435" s="319">
        <f t="shared" ref="F435:G435" si="431">E435*1.1</f>
        <v>308000</v>
      </c>
      <c r="G435" s="319">
        <f t="shared" si="431"/>
        <v>338800</v>
      </c>
      <c r="H435" s="132"/>
    </row>
    <row r="436" spans="1:8" s="290" customFormat="1" outlineLevel="2">
      <c r="A436" s="382"/>
      <c r="B436" s="382"/>
      <c r="C436" s="389">
        <v>2220105</v>
      </c>
      <c r="D436" s="340" t="s">
        <v>64</v>
      </c>
      <c r="E436" s="390">
        <v>120000</v>
      </c>
      <c r="F436" s="319">
        <f t="shared" ref="F436:G436" si="432">E436*1.1</f>
        <v>132000</v>
      </c>
      <c r="G436" s="319">
        <f t="shared" si="432"/>
        <v>145200</v>
      </c>
      <c r="H436" s="132"/>
    </row>
    <row r="437" spans="1:8" s="290" customFormat="1" outlineLevel="2">
      <c r="A437" s="382"/>
      <c r="B437" s="382"/>
      <c r="C437" s="386">
        <v>3110900</v>
      </c>
      <c r="D437" s="387" t="s">
        <v>134</v>
      </c>
      <c r="E437" s="388">
        <f>SUM(E438:E438)</f>
        <v>80000</v>
      </c>
      <c r="F437" s="319">
        <f t="shared" ref="F437:G437" si="433">E437*1.1</f>
        <v>88000</v>
      </c>
      <c r="G437" s="319">
        <f t="shared" si="433"/>
        <v>96800.000000000015</v>
      </c>
      <c r="H437" s="132"/>
    </row>
    <row r="438" spans="1:8" s="290" customFormat="1" outlineLevel="2">
      <c r="A438" s="382"/>
      <c r="B438" s="382"/>
      <c r="C438" s="389">
        <v>3111003</v>
      </c>
      <c r="D438" s="340" t="s">
        <v>135</v>
      </c>
      <c r="E438" s="390">
        <v>80000</v>
      </c>
      <c r="F438" s="319">
        <f t="shared" ref="F438:G438" si="434">E438*1.1</f>
        <v>88000</v>
      </c>
      <c r="G438" s="319">
        <f t="shared" si="434"/>
        <v>96800.000000000015</v>
      </c>
      <c r="H438" s="132"/>
    </row>
    <row r="439" spans="1:8" s="290" customFormat="1" outlineLevel="2">
      <c r="A439" s="382"/>
      <c r="B439" s="382"/>
      <c r="C439" s="386">
        <v>3111000</v>
      </c>
      <c r="D439" s="387" t="s">
        <v>65</v>
      </c>
      <c r="E439" s="388">
        <f>E440+E441</f>
        <v>1428000</v>
      </c>
      <c r="F439" s="319">
        <f t="shared" ref="F439:G439" si="435">E439*1.1</f>
        <v>1570800.0000000002</v>
      </c>
      <c r="G439" s="319">
        <f t="shared" si="435"/>
        <v>1727880.0000000005</v>
      </c>
      <c r="H439" s="132"/>
    </row>
    <row r="440" spans="1:8" s="290" customFormat="1" outlineLevel="2">
      <c r="A440" s="382"/>
      <c r="B440" s="382"/>
      <c r="C440" s="389">
        <v>3111001</v>
      </c>
      <c r="D440" s="340" t="s">
        <v>66</v>
      </c>
      <c r="E440" s="390">
        <v>516000</v>
      </c>
      <c r="F440" s="319">
        <f t="shared" ref="F440:G440" si="436">E440*1.1</f>
        <v>567600</v>
      </c>
      <c r="G440" s="319">
        <f t="shared" si="436"/>
        <v>624360</v>
      </c>
      <c r="H440" s="132"/>
    </row>
    <row r="441" spans="1:8" s="290" customFormat="1" outlineLevel="2">
      <c r="A441" s="382"/>
      <c r="B441" s="382"/>
      <c r="C441" s="389">
        <v>3111002</v>
      </c>
      <c r="D441" s="340" t="s">
        <v>67</v>
      </c>
      <c r="E441" s="390">
        <v>912000</v>
      </c>
      <c r="F441" s="319">
        <f t="shared" ref="F441:G441" si="437">E441*1.1</f>
        <v>1003200.0000000001</v>
      </c>
      <c r="G441" s="319">
        <f t="shared" si="437"/>
        <v>1103520.0000000002</v>
      </c>
      <c r="H441" s="132"/>
    </row>
    <row r="442" spans="1:8" s="290" customFormat="1" outlineLevel="1">
      <c r="A442" s="382"/>
      <c r="B442" s="382"/>
      <c r="C442" s="391"/>
      <c r="D442" s="392" t="s">
        <v>70</v>
      </c>
      <c r="E442" s="393">
        <f>E439+E437+E434+E431+E429+E424+E421+E414+E409+E405+E400+E396+E393</f>
        <v>8849100</v>
      </c>
      <c r="F442" s="319">
        <f t="shared" ref="F442:G442" si="438">E442*1.1</f>
        <v>9734010</v>
      </c>
      <c r="G442" s="319">
        <f t="shared" si="438"/>
        <v>10707411</v>
      </c>
      <c r="H442" s="132"/>
    </row>
    <row r="443" spans="1:8" s="290" customFormat="1" outlineLevel="1">
      <c r="A443" s="382"/>
      <c r="B443" s="382"/>
      <c r="C443" s="385"/>
      <c r="D443" s="385"/>
      <c r="E443" s="382"/>
      <c r="F443" s="319">
        <f t="shared" ref="F443:G443" si="439">E443*1.1</f>
        <v>0</v>
      </c>
      <c r="G443" s="319">
        <f t="shared" si="439"/>
        <v>0</v>
      </c>
      <c r="H443" s="132"/>
    </row>
    <row r="444" spans="1:8" s="290" customFormat="1" outlineLevel="1">
      <c r="A444" s="382"/>
      <c r="B444" s="382"/>
      <c r="C444" s="394" t="s">
        <v>137</v>
      </c>
      <c r="D444" s="396"/>
      <c r="E444" s="397"/>
      <c r="F444" s="319">
        <f t="shared" ref="F444:G444" si="440">E444*1.1</f>
        <v>0</v>
      </c>
      <c r="G444" s="319">
        <f t="shared" si="440"/>
        <v>0</v>
      </c>
      <c r="H444" s="132"/>
    </row>
    <row r="445" spans="1:8" s="290" customFormat="1" outlineLevel="1">
      <c r="A445" s="382"/>
      <c r="B445" s="382"/>
      <c r="C445" s="394" t="s">
        <v>137</v>
      </c>
      <c r="D445" s="396"/>
      <c r="E445" s="397"/>
      <c r="F445" s="319">
        <f t="shared" ref="F445:G445" si="441">E445*1.1</f>
        <v>0</v>
      </c>
      <c r="G445" s="319">
        <f t="shared" si="441"/>
        <v>0</v>
      </c>
      <c r="H445" s="132"/>
    </row>
    <row r="446" spans="1:8" s="290" customFormat="1" outlineLevel="2">
      <c r="A446" s="382"/>
      <c r="B446" s="382"/>
      <c r="C446" s="386">
        <v>2210100</v>
      </c>
      <c r="D446" s="387" t="s">
        <v>16</v>
      </c>
      <c r="E446" s="388">
        <f>E447+E448</f>
        <v>116000</v>
      </c>
      <c r="F446" s="319">
        <f t="shared" ref="F446:G446" si="442">E446*1.1</f>
        <v>127600.00000000001</v>
      </c>
      <c r="G446" s="319">
        <f t="shared" si="442"/>
        <v>140360.00000000003</v>
      </c>
      <c r="H446" s="132"/>
    </row>
    <row r="447" spans="1:8" s="290" customFormat="1" outlineLevel="2">
      <c r="A447" s="382"/>
      <c r="B447" s="382"/>
      <c r="C447" s="389">
        <v>2210101</v>
      </c>
      <c r="D447" s="340" t="s">
        <v>17</v>
      </c>
      <c r="E447" s="390">
        <v>58000</v>
      </c>
      <c r="F447" s="319">
        <f t="shared" ref="F447:G447" si="443">E447*1.1</f>
        <v>63800.000000000007</v>
      </c>
      <c r="G447" s="319">
        <f t="shared" si="443"/>
        <v>70180.000000000015</v>
      </c>
      <c r="H447" s="132"/>
    </row>
    <row r="448" spans="1:8" s="290" customFormat="1" outlineLevel="2">
      <c r="A448" s="382"/>
      <c r="B448" s="382"/>
      <c r="C448" s="389">
        <v>2210102</v>
      </c>
      <c r="D448" s="340" t="s">
        <v>18</v>
      </c>
      <c r="E448" s="390">
        <v>58000</v>
      </c>
      <c r="F448" s="319">
        <f t="shared" ref="F448:G448" si="444">E448*1.1</f>
        <v>63800.000000000007</v>
      </c>
      <c r="G448" s="319">
        <f t="shared" si="444"/>
        <v>70180.000000000015</v>
      </c>
      <c r="H448" s="132"/>
    </row>
    <row r="449" spans="1:8" s="290" customFormat="1" outlineLevel="2">
      <c r="A449" s="382"/>
      <c r="B449" s="382"/>
      <c r="C449" s="386">
        <v>2210200</v>
      </c>
      <c r="D449" s="387" t="s">
        <v>19</v>
      </c>
      <c r="E449" s="388">
        <f>E450+E451+E452</f>
        <v>460000</v>
      </c>
      <c r="F449" s="319">
        <f t="shared" ref="F449:G449" si="445">E449*1.1</f>
        <v>506000.00000000006</v>
      </c>
      <c r="G449" s="319">
        <f t="shared" si="445"/>
        <v>556600.00000000012</v>
      </c>
      <c r="H449" s="132"/>
    </row>
    <row r="450" spans="1:8" s="290" customFormat="1" outlineLevel="2">
      <c r="A450" s="382"/>
      <c r="B450" s="382"/>
      <c r="C450" s="389">
        <v>2210201</v>
      </c>
      <c r="D450" s="340" t="s">
        <v>20</v>
      </c>
      <c r="E450" s="390">
        <v>280000</v>
      </c>
      <c r="F450" s="319">
        <f t="shared" ref="F450:G450" si="446">E450*1.1</f>
        <v>308000</v>
      </c>
      <c r="G450" s="319">
        <f t="shared" si="446"/>
        <v>338800</v>
      </c>
      <c r="H450" s="132"/>
    </row>
    <row r="451" spans="1:8" s="290" customFormat="1" outlineLevel="2">
      <c r="A451" s="382"/>
      <c r="B451" s="382"/>
      <c r="C451" s="389">
        <v>2210202</v>
      </c>
      <c r="D451" s="340" t="s">
        <v>21</v>
      </c>
      <c r="E451" s="390">
        <v>80000</v>
      </c>
      <c r="F451" s="319">
        <f t="shared" ref="F451:G451" si="447">E451*1.1</f>
        <v>88000</v>
      </c>
      <c r="G451" s="319">
        <f t="shared" si="447"/>
        <v>96800.000000000015</v>
      </c>
      <c r="H451" s="132"/>
    </row>
    <row r="452" spans="1:8" s="290" customFormat="1" outlineLevel="2">
      <c r="A452" s="382"/>
      <c r="B452" s="382"/>
      <c r="C452" s="389">
        <v>2210203</v>
      </c>
      <c r="D452" s="340" t="s">
        <v>22</v>
      </c>
      <c r="E452" s="390">
        <v>100000</v>
      </c>
      <c r="F452" s="319">
        <f t="shared" ref="F452:G452" si="448">E452*1.1</f>
        <v>110000.00000000001</v>
      </c>
      <c r="G452" s="319">
        <f t="shared" si="448"/>
        <v>121000.00000000003</v>
      </c>
      <c r="H452" s="132"/>
    </row>
    <row r="453" spans="1:8" s="290" customFormat="1" ht="30" outlineLevel="2">
      <c r="A453" s="382"/>
      <c r="B453" s="382"/>
      <c r="C453" s="386">
        <v>2210300</v>
      </c>
      <c r="D453" s="387" t="s">
        <v>23</v>
      </c>
      <c r="E453" s="388">
        <f>SUM(E454:E457)</f>
        <v>448000</v>
      </c>
      <c r="F453" s="319">
        <f t="shared" ref="F453:G453" si="449">E453*1.1</f>
        <v>492800.00000000006</v>
      </c>
      <c r="G453" s="319">
        <f t="shared" si="449"/>
        <v>542080.00000000012</v>
      </c>
      <c r="H453" s="132"/>
    </row>
    <row r="454" spans="1:8" s="290" customFormat="1" outlineLevel="2">
      <c r="A454" s="382"/>
      <c r="B454" s="382"/>
      <c r="C454" s="389">
        <v>2210301</v>
      </c>
      <c r="D454" s="340" t="s">
        <v>24</v>
      </c>
      <c r="E454" s="390">
        <f>(1000000-500000)*0.2</f>
        <v>100000</v>
      </c>
      <c r="F454" s="319">
        <f t="shared" ref="F454:G454" si="450">E454*1.1</f>
        <v>110000.00000000001</v>
      </c>
      <c r="G454" s="319">
        <f t="shared" si="450"/>
        <v>121000.00000000003</v>
      </c>
      <c r="H454" s="132"/>
    </row>
    <row r="455" spans="1:8" s="290" customFormat="1" outlineLevel="2">
      <c r="A455" s="382"/>
      <c r="B455" s="382"/>
      <c r="C455" s="389">
        <v>2210302</v>
      </c>
      <c r="D455" s="340" t="s">
        <v>25</v>
      </c>
      <c r="E455" s="390">
        <v>100000</v>
      </c>
      <c r="F455" s="319">
        <f t="shared" ref="F455:G455" si="451">E455*1.1</f>
        <v>110000.00000000001</v>
      </c>
      <c r="G455" s="319">
        <f t="shared" si="451"/>
        <v>121000.00000000003</v>
      </c>
      <c r="H455" s="132"/>
    </row>
    <row r="456" spans="1:8" s="290" customFormat="1" outlineLevel="2">
      <c r="A456" s="382"/>
      <c r="B456" s="382"/>
      <c r="C456" s="389">
        <v>2210303</v>
      </c>
      <c r="D456" s="340" t="s">
        <v>26</v>
      </c>
      <c r="E456" s="390">
        <f>(1160000-500000)*0.2</f>
        <v>132000</v>
      </c>
      <c r="F456" s="319">
        <f t="shared" ref="F456:G456" si="452">E456*1.1</f>
        <v>145200</v>
      </c>
      <c r="G456" s="319">
        <f t="shared" si="452"/>
        <v>159720</v>
      </c>
      <c r="H456" s="132"/>
    </row>
    <row r="457" spans="1:8" s="290" customFormat="1" outlineLevel="2">
      <c r="A457" s="382"/>
      <c r="B457" s="382"/>
      <c r="C457" s="389">
        <v>2210304</v>
      </c>
      <c r="D457" s="340" t="s">
        <v>27</v>
      </c>
      <c r="E457" s="390">
        <v>116000</v>
      </c>
      <c r="F457" s="319">
        <f t="shared" ref="F457:G457" si="453">E457*1.1</f>
        <v>127600.00000000001</v>
      </c>
      <c r="G457" s="319">
        <f t="shared" si="453"/>
        <v>140360.00000000003</v>
      </c>
      <c r="H457" s="132"/>
    </row>
    <row r="458" spans="1:8" s="290" customFormat="1" outlineLevel="2">
      <c r="A458" s="382"/>
      <c r="B458" s="382"/>
      <c r="C458" s="386">
        <v>2210400</v>
      </c>
      <c r="D458" s="387" t="s">
        <v>28</v>
      </c>
      <c r="E458" s="388">
        <f>SUM(E459:E461)</f>
        <v>290500</v>
      </c>
      <c r="F458" s="319">
        <f t="shared" ref="F458:G458" si="454">E458*1.1</f>
        <v>319550</v>
      </c>
      <c r="G458" s="319">
        <f t="shared" si="454"/>
        <v>351505</v>
      </c>
      <c r="H458" s="132"/>
    </row>
    <row r="459" spans="1:8" s="290" customFormat="1" outlineLevel="2">
      <c r="A459" s="382"/>
      <c r="B459" s="382"/>
      <c r="C459" s="389">
        <v>2210401</v>
      </c>
      <c r="D459" s="340" t="s">
        <v>24</v>
      </c>
      <c r="E459" s="390">
        <v>116000</v>
      </c>
      <c r="F459" s="319">
        <f t="shared" ref="F459:G459" si="455">E459*1.1</f>
        <v>127600.00000000001</v>
      </c>
      <c r="G459" s="319">
        <f t="shared" si="455"/>
        <v>140360.00000000003</v>
      </c>
      <c r="H459" s="132"/>
    </row>
    <row r="460" spans="1:8" s="290" customFormat="1" outlineLevel="2">
      <c r="A460" s="382"/>
      <c r="B460" s="382"/>
      <c r="C460" s="389">
        <v>2210402</v>
      </c>
      <c r="D460" s="340" t="s">
        <v>29</v>
      </c>
      <c r="E460" s="390">
        <v>116500</v>
      </c>
      <c r="F460" s="319">
        <f t="shared" ref="F460:G460" si="456">E460*1.1</f>
        <v>128150.00000000001</v>
      </c>
      <c r="G460" s="319">
        <f t="shared" si="456"/>
        <v>140965.00000000003</v>
      </c>
      <c r="H460" s="132"/>
    </row>
    <row r="461" spans="1:8" s="290" customFormat="1" outlineLevel="2">
      <c r="A461" s="382"/>
      <c r="B461" s="382"/>
      <c r="C461" s="389">
        <v>2210404</v>
      </c>
      <c r="D461" s="340" t="s">
        <v>27</v>
      </c>
      <c r="E461" s="390">
        <v>58000</v>
      </c>
      <c r="F461" s="319">
        <f t="shared" ref="F461:G461" si="457">E461*1.1</f>
        <v>63800.000000000007</v>
      </c>
      <c r="G461" s="319">
        <f t="shared" si="457"/>
        <v>70180.000000000015</v>
      </c>
      <c r="H461" s="132"/>
    </row>
    <row r="462" spans="1:8" s="290" customFormat="1" outlineLevel="2">
      <c r="A462" s="382"/>
      <c r="B462" s="382"/>
      <c r="C462" s="386">
        <v>2210500</v>
      </c>
      <c r="D462" s="387" t="s">
        <v>30</v>
      </c>
      <c r="E462" s="388">
        <f>SUM(E463:E466)</f>
        <v>1320000</v>
      </c>
      <c r="F462" s="319">
        <f t="shared" ref="F462:G462" si="458">E462*1.1</f>
        <v>1452000.0000000002</v>
      </c>
      <c r="G462" s="319">
        <f t="shared" si="458"/>
        <v>1597200.0000000005</v>
      </c>
      <c r="H462" s="132"/>
    </row>
    <row r="463" spans="1:8" s="290" customFormat="1" outlineLevel="2">
      <c r="A463" s="382"/>
      <c r="B463" s="382"/>
      <c r="C463" s="389">
        <v>2210503</v>
      </c>
      <c r="D463" s="340" t="s">
        <v>31</v>
      </c>
      <c r="E463" s="390">
        <v>230000</v>
      </c>
      <c r="F463" s="319">
        <f t="shared" ref="F463:G463" si="459">E463*1.1</f>
        <v>253000.00000000003</v>
      </c>
      <c r="G463" s="319">
        <f t="shared" si="459"/>
        <v>278300.00000000006</v>
      </c>
      <c r="H463" s="132"/>
    </row>
    <row r="464" spans="1:8" s="290" customFormat="1" outlineLevel="2">
      <c r="A464" s="382"/>
      <c r="B464" s="382"/>
      <c r="C464" s="389">
        <v>2210504</v>
      </c>
      <c r="D464" s="340" t="s">
        <v>32</v>
      </c>
      <c r="E464" s="390">
        <v>480000</v>
      </c>
      <c r="F464" s="319">
        <f t="shared" ref="F464:G464" si="460">E464*1.1</f>
        <v>528000</v>
      </c>
      <c r="G464" s="319">
        <f t="shared" si="460"/>
        <v>580800</v>
      </c>
      <c r="H464" s="132"/>
    </row>
    <row r="465" spans="1:8" s="290" customFormat="1" outlineLevel="2">
      <c r="A465" s="382"/>
      <c r="B465" s="382"/>
      <c r="C465" s="389" t="s">
        <v>128</v>
      </c>
      <c r="D465" s="340" t="s">
        <v>129</v>
      </c>
      <c r="E465" s="390">
        <v>430000</v>
      </c>
      <c r="F465" s="319">
        <f t="shared" ref="F465:G465" si="461">E465*1.1</f>
        <v>473000.00000000006</v>
      </c>
      <c r="G465" s="319">
        <f t="shared" si="461"/>
        <v>520300.00000000012</v>
      </c>
      <c r="H465" s="132"/>
    </row>
    <row r="466" spans="1:8" s="290" customFormat="1" outlineLevel="2">
      <c r="A466" s="382"/>
      <c r="B466" s="382"/>
      <c r="C466" s="389">
        <v>2210599</v>
      </c>
      <c r="D466" s="340" t="s">
        <v>33</v>
      </c>
      <c r="E466" s="390">
        <v>180000</v>
      </c>
      <c r="F466" s="319">
        <f t="shared" ref="F466:G466" si="462">E466*1.1</f>
        <v>198000.00000000003</v>
      </c>
      <c r="G466" s="319">
        <f t="shared" si="462"/>
        <v>217800.00000000006</v>
      </c>
      <c r="H466" s="132"/>
    </row>
    <row r="467" spans="1:8" s="290" customFormat="1" outlineLevel="2">
      <c r="A467" s="382"/>
      <c r="B467" s="382"/>
      <c r="C467" s="386">
        <v>2210700</v>
      </c>
      <c r="D467" s="387" t="s">
        <v>34</v>
      </c>
      <c r="E467" s="388">
        <f>SUM(E468:E473)</f>
        <v>660200</v>
      </c>
      <c r="F467" s="319">
        <f t="shared" ref="F467:G467" si="463">E467*1.1</f>
        <v>726220.00000000012</v>
      </c>
      <c r="G467" s="319">
        <f t="shared" si="463"/>
        <v>798842.00000000023</v>
      </c>
      <c r="H467" s="132"/>
    </row>
    <row r="468" spans="1:8" s="290" customFormat="1" outlineLevel="2">
      <c r="A468" s="382"/>
      <c r="B468" s="382"/>
      <c r="C468" s="389">
        <v>2210701</v>
      </c>
      <c r="D468" s="340" t="s">
        <v>35</v>
      </c>
      <c r="E468" s="390">
        <v>230000</v>
      </c>
      <c r="F468" s="319">
        <f t="shared" ref="F468:G468" si="464">E468*1.1</f>
        <v>253000.00000000003</v>
      </c>
      <c r="G468" s="319">
        <f t="shared" si="464"/>
        <v>278300.00000000006</v>
      </c>
      <c r="H468" s="132"/>
    </row>
    <row r="469" spans="1:8" s="290" customFormat="1" outlineLevel="2">
      <c r="A469" s="382"/>
      <c r="B469" s="382"/>
      <c r="C469" s="389">
        <v>2210702</v>
      </c>
      <c r="D469" s="340" t="s">
        <v>36</v>
      </c>
      <c r="E469" s="390">
        <v>79000</v>
      </c>
      <c r="F469" s="319">
        <f t="shared" ref="F469:G469" si="465">E469*1.1</f>
        <v>86900</v>
      </c>
      <c r="G469" s="319">
        <f t="shared" si="465"/>
        <v>95590.000000000015</v>
      </c>
      <c r="H469" s="132"/>
    </row>
    <row r="470" spans="1:8" s="290" customFormat="1" outlineLevel="2">
      <c r="A470" s="382"/>
      <c r="B470" s="382"/>
      <c r="C470" s="389">
        <v>2210704</v>
      </c>
      <c r="D470" s="340" t="s">
        <v>37</v>
      </c>
      <c r="E470" s="390">
        <v>60000</v>
      </c>
      <c r="F470" s="319">
        <f t="shared" ref="F470:G470" si="466">E470*1.1</f>
        <v>66000</v>
      </c>
      <c r="G470" s="319">
        <f t="shared" si="466"/>
        <v>72600</v>
      </c>
      <c r="H470" s="132"/>
    </row>
    <row r="471" spans="1:8" s="290" customFormat="1" outlineLevel="2">
      <c r="A471" s="382"/>
      <c r="B471" s="382"/>
      <c r="C471" s="389">
        <v>2210710</v>
      </c>
      <c r="D471" s="340" t="s">
        <v>38</v>
      </c>
      <c r="E471" s="390">
        <v>120000</v>
      </c>
      <c r="F471" s="319">
        <f t="shared" ref="F471:G471" si="467">E471*1.1</f>
        <v>132000</v>
      </c>
      <c r="G471" s="319">
        <f t="shared" si="467"/>
        <v>145200</v>
      </c>
      <c r="H471" s="132"/>
    </row>
    <row r="472" spans="1:8" s="290" customFormat="1" outlineLevel="2">
      <c r="A472" s="382"/>
      <c r="B472" s="382"/>
      <c r="C472" s="389">
        <v>2210715</v>
      </c>
      <c r="D472" s="340" t="s">
        <v>39</v>
      </c>
      <c r="E472" s="390">
        <v>116000</v>
      </c>
      <c r="F472" s="319">
        <f t="shared" ref="F472:G472" si="468">E472*1.1</f>
        <v>127600.00000000001</v>
      </c>
      <c r="G472" s="319">
        <f t="shared" si="468"/>
        <v>140360.00000000003</v>
      </c>
      <c r="H472" s="132"/>
    </row>
    <row r="473" spans="1:8" s="290" customFormat="1" outlineLevel="2">
      <c r="A473" s="382"/>
      <c r="B473" s="382"/>
      <c r="C473" s="389">
        <v>2210799</v>
      </c>
      <c r="D473" s="340" t="s">
        <v>40</v>
      </c>
      <c r="E473" s="390">
        <v>55200</v>
      </c>
      <c r="F473" s="319">
        <f t="shared" ref="F473:G473" si="469">E473*1.1</f>
        <v>60720.000000000007</v>
      </c>
      <c r="G473" s="319">
        <f t="shared" si="469"/>
        <v>66792.000000000015</v>
      </c>
      <c r="H473" s="132"/>
    </row>
    <row r="474" spans="1:8" s="290" customFormat="1" outlineLevel="2">
      <c r="A474" s="382"/>
      <c r="B474" s="382"/>
      <c r="C474" s="386">
        <v>2210800</v>
      </c>
      <c r="D474" s="387" t="s">
        <v>41</v>
      </c>
      <c r="E474" s="388">
        <f>SUM(E475:E476)</f>
        <v>1060000</v>
      </c>
      <c r="F474" s="319">
        <f t="shared" ref="F474:G474" si="470">E474*1.1</f>
        <v>1166000</v>
      </c>
      <c r="G474" s="319">
        <f t="shared" si="470"/>
        <v>1282600</v>
      </c>
      <c r="H474" s="132"/>
    </row>
    <row r="475" spans="1:8" s="290" customFormat="1" ht="30" outlineLevel="2">
      <c r="A475" s="382"/>
      <c r="B475" s="382"/>
      <c r="C475" s="389">
        <v>2210801</v>
      </c>
      <c r="D475" s="340" t="s">
        <v>42</v>
      </c>
      <c r="E475" s="390">
        <v>840000</v>
      </c>
      <c r="F475" s="319">
        <f t="shared" ref="F475:G475" si="471">E475*1.1</f>
        <v>924000.00000000012</v>
      </c>
      <c r="G475" s="319">
        <f t="shared" si="471"/>
        <v>1016400.0000000002</v>
      </c>
      <c r="H475" s="132"/>
    </row>
    <row r="476" spans="1:8" s="290" customFormat="1" outlineLevel="2">
      <c r="A476" s="382"/>
      <c r="B476" s="382"/>
      <c r="C476" s="389">
        <v>2210802</v>
      </c>
      <c r="D476" s="340" t="s">
        <v>43</v>
      </c>
      <c r="E476" s="390">
        <v>220000</v>
      </c>
      <c r="F476" s="319">
        <f t="shared" ref="F476:G476" si="472">E476*1.1</f>
        <v>242000.00000000003</v>
      </c>
      <c r="G476" s="319">
        <f t="shared" si="472"/>
        <v>266200.00000000006</v>
      </c>
      <c r="H476" s="132"/>
    </row>
    <row r="477" spans="1:8" s="290" customFormat="1" outlineLevel="2">
      <c r="A477" s="382"/>
      <c r="B477" s="382"/>
      <c r="C477" s="386">
        <v>2211100</v>
      </c>
      <c r="D477" s="387" t="s">
        <v>49</v>
      </c>
      <c r="E477" s="388">
        <f>SUM(E478:E481)</f>
        <v>718000</v>
      </c>
      <c r="F477" s="319">
        <f t="shared" ref="F477:G477" si="473">E477*1.1</f>
        <v>789800.00000000012</v>
      </c>
      <c r="G477" s="319">
        <f t="shared" si="473"/>
        <v>868780.00000000023</v>
      </c>
      <c r="H477" s="132"/>
    </row>
    <row r="478" spans="1:8" s="290" customFormat="1" ht="30" outlineLevel="2">
      <c r="A478" s="382"/>
      <c r="B478" s="382"/>
      <c r="C478" s="389">
        <v>2211101</v>
      </c>
      <c r="D478" s="340" t="s">
        <v>50</v>
      </c>
      <c r="E478" s="390">
        <f>(580000+1000000-1000000)*0.2</f>
        <v>116000</v>
      </c>
      <c r="F478" s="319">
        <f t="shared" ref="F478:G478" si="474">E478*1.1</f>
        <v>127600.00000000001</v>
      </c>
      <c r="G478" s="319">
        <f t="shared" si="474"/>
        <v>140360.00000000003</v>
      </c>
      <c r="H478" s="132"/>
    </row>
    <row r="479" spans="1:8" s="290" customFormat="1" outlineLevel="2">
      <c r="A479" s="382"/>
      <c r="B479" s="382"/>
      <c r="C479" s="389">
        <v>2211102</v>
      </c>
      <c r="D479" s="340" t="s">
        <v>51</v>
      </c>
      <c r="E479" s="390">
        <f>(580000+1000000-1000000)*0.2</f>
        <v>116000</v>
      </c>
      <c r="F479" s="319">
        <f t="shared" ref="F479:G479" si="475">E479*1.1</f>
        <v>127600.00000000001</v>
      </c>
      <c r="G479" s="319">
        <f t="shared" si="475"/>
        <v>140360.00000000003</v>
      </c>
      <c r="H479" s="132"/>
    </row>
    <row r="480" spans="1:8" s="290" customFormat="1" outlineLevel="2">
      <c r="A480" s="382"/>
      <c r="B480" s="382"/>
      <c r="C480" s="389">
        <v>2211103</v>
      </c>
      <c r="D480" s="340" t="s">
        <v>52</v>
      </c>
      <c r="E480" s="390">
        <f>(290000+740000-500000)*0.2</f>
        <v>106000</v>
      </c>
      <c r="F480" s="319">
        <f t="shared" ref="F480:G480" si="476">E480*1.1</f>
        <v>116600.00000000001</v>
      </c>
      <c r="G480" s="319">
        <f t="shared" si="476"/>
        <v>128260.00000000003</v>
      </c>
      <c r="H480" s="132"/>
    </row>
    <row r="481" spans="1:8" s="290" customFormat="1" outlineLevel="2">
      <c r="A481" s="382"/>
      <c r="B481" s="382"/>
      <c r="C481" s="389" t="s">
        <v>131</v>
      </c>
      <c r="D481" s="340" t="s">
        <v>132</v>
      </c>
      <c r="E481" s="390">
        <v>380000</v>
      </c>
      <c r="F481" s="319">
        <f t="shared" ref="F481:G481" si="477">E481*1.1</f>
        <v>418000.00000000006</v>
      </c>
      <c r="G481" s="319">
        <f t="shared" si="477"/>
        <v>459800.00000000012</v>
      </c>
      <c r="H481" s="132"/>
    </row>
    <row r="482" spans="1:8" s="290" customFormat="1" outlineLevel="2">
      <c r="A482" s="382"/>
      <c r="B482" s="382"/>
      <c r="C482" s="386">
        <v>2211200</v>
      </c>
      <c r="D482" s="387" t="s">
        <v>53</v>
      </c>
      <c r="E482" s="388">
        <f>SUM(E483)</f>
        <v>720000</v>
      </c>
      <c r="F482" s="319">
        <f t="shared" ref="F482:G482" si="478">E482*1.1</f>
        <v>792000.00000000012</v>
      </c>
      <c r="G482" s="319">
        <f t="shared" si="478"/>
        <v>871200.00000000023</v>
      </c>
      <c r="H482" s="132"/>
    </row>
    <row r="483" spans="1:8" s="290" customFormat="1" outlineLevel="2">
      <c r="A483" s="382"/>
      <c r="B483" s="382"/>
      <c r="C483" s="389">
        <v>2211201</v>
      </c>
      <c r="D483" s="340" t="s">
        <v>133</v>
      </c>
      <c r="E483" s="390">
        <v>720000</v>
      </c>
      <c r="F483" s="319">
        <f t="shared" ref="F483:G483" si="479">E483*1.1</f>
        <v>792000.00000000012</v>
      </c>
      <c r="G483" s="319">
        <f t="shared" si="479"/>
        <v>871200.00000000023</v>
      </c>
      <c r="H483" s="132"/>
    </row>
    <row r="484" spans="1:8" s="290" customFormat="1" outlineLevel="2">
      <c r="A484" s="382"/>
      <c r="B484" s="382"/>
      <c r="C484" s="386">
        <v>2211300</v>
      </c>
      <c r="D484" s="387" t="s">
        <v>55</v>
      </c>
      <c r="E484" s="388">
        <f>E485+E486+E487+E488+E489</f>
        <v>46505660</v>
      </c>
      <c r="F484" s="319">
        <f t="shared" ref="F484:G484" si="480">E484*1.1</f>
        <v>51156226.000000007</v>
      </c>
      <c r="G484" s="319">
        <f t="shared" si="480"/>
        <v>56271848.600000016</v>
      </c>
      <c r="H484" s="132"/>
    </row>
    <row r="485" spans="1:8" s="290" customFormat="1" outlineLevel="2">
      <c r="A485" s="382"/>
      <c r="B485" s="382"/>
      <c r="C485" s="389">
        <v>2211320</v>
      </c>
      <c r="D485" s="340" t="s">
        <v>59</v>
      </c>
      <c r="E485" s="390">
        <v>360000</v>
      </c>
      <c r="F485" s="319">
        <f t="shared" ref="F485:G485" si="481">E485*1.1</f>
        <v>396000.00000000006</v>
      </c>
      <c r="G485" s="319">
        <f t="shared" si="481"/>
        <v>435600.00000000012</v>
      </c>
      <c r="H485" s="132"/>
    </row>
    <row r="486" spans="1:8" s="290" customFormat="1" ht="30" outlineLevel="2">
      <c r="A486" s="382"/>
      <c r="B486" s="382"/>
      <c r="C486" s="389">
        <v>2211399</v>
      </c>
      <c r="D486" s="340" t="s">
        <v>138</v>
      </c>
      <c r="E486" s="390">
        <v>16145660</v>
      </c>
      <c r="F486" s="319">
        <f t="shared" ref="F486:G486" si="482">E486*1.1</f>
        <v>17760226</v>
      </c>
      <c r="G486" s="319">
        <f t="shared" si="482"/>
        <v>19536248.600000001</v>
      </c>
      <c r="H486" s="132"/>
    </row>
    <row r="487" spans="1:8" s="290" customFormat="1" outlineLevel="2">
      <c r="A487" s="382"/>
      <c r="B487" s="382"/>
      <c r="C487" s="389">
        <v>2211399</v>
      </c>
      <c r="D487" s="340" t="s">
        <v>139</v>
      </c>
      <c r="E487" s="390">
        <v>2500000</v>
      </c>
      <c r="F487" s="319">
        <f t="shared" ref="F487:G487" si="483">E487*1.1</f>
        <v>2750000</v>
      </c>
      <c r="G487" s="319">
        <f t="shared" si="483"/>
        <v>3025000.0000000005</v>
      </c>
      <c r="H487" s="132"/>
    </row>
    <row r="488" spans="1:8" s="290" customFormat="1" ht="45" outlineLevel="2">
      <c r="A488" s="382"/>
      <c r="B488" s="382"/>
      <c r="C488" s="389">
        <v>2211399</v>
      </c>
      <c r="D488" s="340" t="s">
        <v>140</v>
      </c>
      <c r="E488" s="390">
        <v>18500000</v>
      </c>
      <c r="F488" s="319">
        <f t="shared" ref="F488:G488" si="484">E488*1.1</f>
        <v>20350000</v>
      </c>
      <c r="G488" s="319">
        <f t="shared" si="484"/>
        <v>22385000</v>
      </c>
      <c r="H488" s="132"/>
    </row>
    <row r="489" spans="1:8" s="290" customFormat="1" ht="30" outlineLevel="2">
      <c r="A489" s="382"/>
      <c r="B489" s="382"/>
      <c r="C489" s="389">
        <v>2211399</v>
      </c>
      <c r="D489" s="340" t="s">
        <v>141</v>
      </c>
      <c r="E489" s="390">
        <v>9000000</v>
      </c>
      <c r="F489" s="319">
        <f t="shared" ref="F489:G489" si="485">E489*1.1</f>
        <v>9900000</v>
      </c>
      <c r="G489" s="319">
        <f t="shared" si="485"/>
        <v>10890000</v>
      </c>
      <c r="H489" s="132"/>
    </row>
    <row r="490" spans="1:8" s="290" customFormat="1" ht="30" outlineLevel="2">
      <c r="A490" s="382"/>
      <c r="B490" s="382"/>
      <c r="C490" s="386">
        <v>2220100</v>
      </c>
      <c r="D490" s="387" t="s">
        <v>61</v>
      </c>
      <c r="E490" s="388">
        <f>SUM(E491:E492)</f>
        <v>500000</v>
      </c>
      <c r="F490" s="319">
        <f t="shared" ref="F490:G490" si="486">E490*1.1</f>
        <v>550000</v>
      </c>
      <c r="G490" s="319">
        <f t="shared" si="486"/>
        <v>605000</v>
      </c>
      <c r="H490" s="132"/>
    </row>
    <row r="491" spans="1:8" s="290" customFormat="1" outlineLevel="2">
      <c r="A491" s="382"/>
      <c r="B491" s="382"/>
      <c r="C491" s="389">
        <v>2220101</v>
      </c>
      <c r="D491" s="340" t="s">
        <v>62</v>
      </c>
      <c r="E491" s="390">
        <v>270000</v>
      </c>
      <c r="F491" s="319">
        <f t="shared" ref="F491:G491" si="487">E491*1.1</f>
        <v>297000</v>
      </c>
      <c r="G491" s="319">
        <f t="shared" si="487"/>
        <v>326700</v>
      </c>
      <c r="H491" s="132"/>
    </row>
    <row r="492" spans="1:8" s="290" customFormat="1" outlineLevel="2">
      <c r="A492" s="382"/>
      <c r="B492" s="382"/>
      <c r="C492" s="389">
        <v>2220105</v>
      </c>
      <c r="D492" s="340" t="s">
        <v>64</v>
      </c>
      <c r="E492" s="390">
        <v>230000</v>
      </c>
      <c r="F492" s="319">
        <f t="shared" ref="F492:G492" si="488">E492*1.1</f>
        <v>253000.00000000003</v>
      </c>
      <c r="G492" s="319">
        <f t="shared" si="488"/>
        <v>278300.00000000006</v>
      </c>
      <c r="H492" s="132"/>
    </row>
    <row r="493" spans="1:8" s="290" customFormat="1" outlineLevel="2">
      <c r="A493" s="382"/>
      <c r="B493" s="382"/>
      <c r="C493" s="386">
        <v>3110900</v>
      </c>
      <c r="D493" s="387" t="s">
        <v>134</v>
      </c>
      <c r="E493" s="388">
        <f>SUM(E494:E494)</f>
        <v>35000</v>
      </c>
      <c r="F493" s="319">
        <f t="shared" ref="F493:G493" si="489">E493*1.1</f>
        <v>38500</v>
      </c>
      <c r="G493" s="319">
        <f t="shared" si="489"/>
        <v>42350</v>
      </c>
      <c r="H493" s="132"/>
    </row>
    <row r="494" spans="1:8" s="290" customFormat="1" outlineLevel="2">
      <c r="A494" s="382"/>
      <c r="B494" s="382"/>
      <c r="C494" s="389">
        <v>3111003</v>
      </c>
      <c r="D494" s="340" t="s">
        <v>135</v>
      </c>
      <c r="E494" s="390">
        <v>35000</v>
      </c>
      <c r="F494" s="319">
        <f t="shared" ref="F494:G494" si="490">E494*1.1</f>
        <v>38500</v>
      </c>
      <c r="G494" s="319">
        <f t="shared" si="490"/>
        <v>42350</v>
      </c>
      <c r="H494" s="132"/>
    </row>
    <row r="495" spans="1:8" s="290" customFormat="1" outlineLevel="2">
      <c r="A495" s="382"/>
      <c r="B495" s="382"/>
      <c r="C495" s="386">
        <v>3111000</v>
      </c>
      <c r="D495" s="387" t="s">
        <v>65</v>
      </c>
      <c r="E495" s="388">
        <f>E496+E497</f>
        <v>960000</v>
      </c>
      <c r="F495" s="319">
        <f t="shared" ref="F495:G495" si="491">E495*1.1</f>
        <v>1056000</v>
      </c>
      <c r="G495" s="319">
        <f t="shared" si="491"/>
        <v>1161600</v>
      </c>
      <c r="H495" s="132"/>
    </row>
    <row r="496" spans="1:8" s="290" customFormat="1" outlineLevel="2">
      <c r="A496" s="382"/>
      <c r="B496" s="382"/>
      <c r="C496" s="389">
        <v>3111001</v>
      </c>
      <c r="D496" s="340" t="s">
        <v>66</v>
      </c>
      <c r="E496" s="390">
        <v>280000</v>
      </c>
      <c r="F496" s="319">
        <f t="shared" ref="F496:G496" si="492">E496*1.1</f>
        <v>308000</v>
      </c>
      <c r="G496" s="319">
        <f t="shared" si="492"/>
        <v>338800</v>
      </c>
      <c r="H496" s="132"/>
    </row>
    <row r="497" spans="1:8" s="290" customFormat="1" outlineLevel="2">
      <c r="A497" s="382"/>
      <c r="B497" s="382"/>
      <c r="C497" s="389">
        <v>3111002</v>
      </c>
      <c r="D497" s="340" t="s">
        <v>67</v>
      </c>
      <c r="E497" s="390">
        <v>680000</v>
      </c>
      <c r="F497" s="319">
        <f t="shared" ref="F497:G497" si="493">E497*1.1</f>
        <v>748000.00000000012</v>
      </c>
      <c r="G497" s="319">
        <f t="shared" si="493"/>
        <v>822800.00000000023</v>
      </c>
      <c r="H497" s="132"/>
    </row>
    <row r="498" spans="1:8" s="290" customFormat="1" outlineLevel="1">
      <c r="A498" s="382"/>
      <c r="B498" s="382"/>
      <c r="C498" s="391"/>
      <c r="D498" s="392" t="s">
        <v>70</v>
      </c>
      <c r="E498" s="393">
        <f>E495+E493+E490+E484+E482+E477+E474+E467+E462+E458+E453+E449+E446</f>
        <v>53793360</v>
      </c>
      <c r="F498" s="319">
        <f t="shared" ref="F498:G498" si="494">E498*1.1</f>
        <v>59172696.000000007</v>
      </c>
      <c r="G498" s="319">
        <f t="shared" si="494"/>
        <v>65089965.600000016</v>
      </c>
      <c r="H498" s="132"/>
    </row>
    <row r="499" spans="1:8" s="290" customFormat="1" outlineLevel="1">
      <c r="A499" s="382"/>
      <c r="B499" s="382"/>
      <c r="C499" s="385"/>
      <c r="D499" s="385"/>
      <c r="E499" s="382"/>
      <c r="F499" s="319">
        <f t="shared" ref="F499:G499" si="495">E499*1.1</f>
        <v>0</v>
      </c>
      <c r="G499" s="319">
        <f t="shared" si="495"/>
        <v>0</v>
      </c>
      <c r="H499" s="132"/>
    </row>
    <row r="500" spans="1:8" s="290" customFormat="1" outlineLevel="1">
      <c r="A500" s="382"/>
      <c r="B500" s="382"/>
      <c r="C500" s="394" t="s">
        <v>142</v>
      </c>
      <c r="D500" s="395"/>
      <c r="E500" s="397"/>
      <c r="F500" s="319">
        <f t="shared" ref="F500:G500" si="496">E500*1.1</f>
        <v>0</v>
      </c>
      <c r="G500" s="319">
        <f t="shared" si="496"/>
        <v>0</v>
      </c>
      <c r="H500" s="132"/>
    </row>
    <row r="501" spans="1:8" s="290" customFormat="1" outlineLevel="1">
      <c r="A501" s="382"/>
      <c r="B501" s="382"/>
      <c r="C501" s="394" t="s">
        <v>143</v>
      </c>
      <c r="D501" s="395"/>
      <c r="E501" s="397"/>
      <c r="F501" s="319">
        <f t="shared" ref="F501:G501" si="497">E501*1.1</f>
        <v>0</v>
      </c>
      <c r="G501" s="319">
        <f t="shared" si="497"/>
        <v>0</v>
      </c>
      <c r="H501" s="132"/>
    </row>
    <row r="502" spans="1:8" s="290" customFormat="1" outlineLevel="2">
      <c r="A502" s="382"/>
      <c r="B502" s="382"/>
      <c r="C502" s="386">
        <v>2210100</v>
      </c>
      <c r="D502" s="387" t="s">
        <v>16</v>
      </c>
      <c r="E502" s="388">
        <f>E503+E504</f>
        <v>116000</v>
      </c>
      <c r="F502" s="319">
        <f t="shared" ref="F502:G502" si="498">E502*1.1</f>
        <v>127600.00000000001</v>
      </c>
      <c r="G502" s="319">
        <f t="shared" si="498"/>
        <v>140360.00000000003</v>
      </c>
      <c r="H502" s="132"/>
    </row>
    <row r="503" spans="1:8" s="290" customFormat="1" outlineLevel="2">
      <c r="A503" s="382"/>
      <c r="B503" s="382"/>
      <c r="C503" s="389">
        <v>2210101</v>
      </c>
      <c r="D503" s="340" t="s">
        <v>17</v>
      </c>
      <c r="E503" s="390">
        <v>58000</v>
      </c>
      <c r="F503" s="319">
        <f t="shared" ref="F503:G503" si="499">E503*1.1</f>
        <v>63800.000000000007</v>
      </c>
      <c r="G503" s="319">
        <f t="shared" si="499"/>
        <v>70180.000000000015</v>
      </c>
      <c r="H503" s="132"/>
    </row>
    <row r="504" spans="1:8" s="290" customFormat="1" outlineLevel="2">
      <c r="A504" s="382"/>
      <c r="B504" s="382"/>
      <c r="C504" s="389">
        <v>2210102</v>
      </c>
      <c r="D504" s="340" t="s">
        <v>18</v>
      </c>
      <c r="E504" s="390">
        <v>58000</v>
      </c>
      <c r="F504" s="319">
        <f t="shared" ref="F504:G504" si="500">E504*1.1</f>
        <v>63800.000000000007</v>
      </c>
      <c r="G504" s="319">
        <f t="shared" si="500"/>
        <v>70180.000000000015</v>
      </c>
      <c r="H504" s="132"/>
    </row>
    <row r="505" spans="1:8" s="290" customFormat="1" outlineLevel="2">
      <c r="A505" s="382"/>
      <c r="B505" s="382"/>
      <c r="C505" s="386">
        <v>2210200</v>
      </c>
      <c r="D505" s="387" t="s">
        <v>19</v>
      </c>
      <c r="E505" s="388">
        <f>E506+E507+E508</f>
        <v>438000</v>
      </c>
      <c r="F505" s="319">
        <f t="shared" ref="F505:G505" si="501">E505*1.1</f>
        <v>481800.00000000006</v>
      </c>
      <c r="G505" s="319">
        <f t="shared" si="501"/>
        <v>529980.00000000012</v>
      </c>
      <c r="H505" s="132"/>
    </row>
    <row r="506" spans="1:8" s="290" customFormat="1" outlineLevel="2">
      <c r="A506" s="382"/>
      <c r="B506" s="382"/>
      <c r="C506" s="389">
        <v>2210201</v>
      </c>
      <c r="D506" s="340" t="s">
        <v>20</v>
      </c>
      <c r="E506" s="390">
        <v>280000</v>
      </c>
      <c r="F506" s="319">
        <f t="shared" ref="F506:G506" si="502">E506*1.1</f>
        <v>308000</v>
      </c>
      <c r="G506" s="319">
        <f t="shared" si="502"/>
        <v>338800</v>
      </c>
      <c r="H506" s="132"/>
    </row>
    <row r="507" spans="1:8" s="290" customFormat="1" outlineLevel="2">
      <c r="A507" s="382"/>
      <c r="B507" s="382"/>
      <c r="C507" s="389">
        <v>2210202</v>
      </c>
      <c r="D507" s="340" t="s">
        <v>21</v>
      </c>
      <c r="E507" s="390">
        <v>58000</v>
      </c>
      <c r="F507" s="319">
        <f t="shared" ref="F507:G507" si="503">E507*1.1</f>
        <v>63800.000000000007</v>
      </c>
      <c r="G507" s="319">
        <f t="shared" si="503"/>
        <v>70180.000000000015</v>
      </c>
      <c r="H507" s="132"/>
    </row>
    <row r="508" spans="1:8" s="290" customFormat="1" outlineLevel="2">
      <c r="A508" s="382"/>
      <c r="B508" s="382"/>
      <c r="C508" s="389">
        <v>2210203</v>
      </c>
      <c r="D508" s="340" t="s">
        <v>22</v>
      </c>
      <c r="E508" s="390">
        <v>100000</v>
      </c>
      <c r="F508" s="319">
        <f t="shared" ref="F508:G508" si="504">E508*1.1</f>
        <v>110000.00000000001</v>
      </c>
      <c r="G508" s="319">
        <f t="shared" si="504"/>
        <v>121000.00000000003</v>
      </c>
      <c r="H508" s="132"/>
    </row>
    <row r="509" spans="1:8" s="290" customFormat="1" ht="30" outlineLevel="2">
      <c r="A509" s="382"/>
      <c r="B509" s="382"/>
      <c r="C509" s="386">
        <v>2210300</v>
      </c>
      <c r="D509" s="387" t="s">
        <v>23</v>
      </c>
      <c r="E509" s="388">
        <f>SUM(E510:E513)</f>
        <v>1446900</v>
      </c>
      <c r="F509" s="319">
        <f t="shared" ref="F509:G509" si="505">E509*1.1</f>
        <v>1591590.0000000002</v>
      </c>
      <c r="G509" s="319">
        <f t="shared" si="505"/>
        <v>1750749.0000000005</v>
      </c>
      <c r="H509" s="132"/>
    </row>
    <row r="510" spans="1:8" s="290" customFormat="1" outlineLevel="2">
      <c r="A510" s="382"/>
      <c r="B510" s="382"/>
      <c r="C510" s="389">
        <v>2210301</v>
      </c>
      <c r="D510" s="340" t="s">
        <v>24</v>
      </c>
      <c r="E510" s="390">
        <v>580900</v>
      </c>
      <c r="F510" s="319">
        <f t="shared" ref="F510:G510" si="506">E510*1.1</f>
        <v>638990</v>
      </c>
      <c r="G510" s="319">
        <f t="shared" si="506"/>
        <v>702889</v>
      </c>
      <c r="H510" s="132"/>
    </row>
    <row r="511" spans="1:8" s="290" customFormat="1" outlineLevel="2">
      <c r="A511" s="382"/>
      <c r="B511" s="382"/>
      <c r="C511" s="389">
        <v>2210302</v>
      </c>
      <c r="D511" s="340" t="s">
        <v>25</v>
      </c>
      <c r="E511" s="390">
        <v>320000</v>
      </c>
      <c r="F511" s="319">
        <f t="shared" ref="F511:G511" si="507">E511*1.1</f>
        <v>352000</v>
      </c>
      <c r="G511" s="319">
        <f t="shared" si="507"/>
        <v>387200.00000000006</v>
      </c>
      <c r="H511" s="132"/>
    </row>
    <row r="512" spans="1:8" s="290" customFormat="1" outlineLevel="2">
      <c r="A512" s="382"/>
      <c r="B512" s="382"/>
      <c r="C512" s="389">
        <v>2210303</v>
      </c>
      <c r="D512" s="340" t="s">
        <v>26</v>
      </c>
      <c r="E512" s="390">
        <v>430000</v>
      </c>
      <c r="F512" s="319">
        <f t="shared" ref="F512:G512" si="508">E512*1.1</f>
        <v>473000.00000000006</v>
      </c>
      <c r="G512" s="319">
        <f t="shared" si="508"/>
        <v>520300.00000000012</v>
      </c>
      <c r="H512" s="132"/>
    </row>
    <row r="513" spans="1:8" s="290" customFormat="1" outlineLevel="2">
      <c r="A513" s="382"/>
      <c r="B513" s="382"/>
      <c r="C513" s="389">
        <v>2210304</v>
      </c>
      <c r="D513" s="340" t="s">
        <v>27</v>
      </c>
      <c r="E513" s="390">
        <v>116000</v>
      </c>
      <c r="F513" s="319">
        <f t="shared" ref="F513:G513" si="509">E513*1.1</f>
        <v>127600.00000000001</v>
      </c>
      <c r="G513" s="319">
        <f t="shared" si="509"/>
        <v>140360.00000000003</v>
      </c>
      <c r="H513" s="132"/>
    </row>
    <row r="514" spans="1:8" s="290" customFormat="1" outlineLevel="2">
      <c r="A514" s="382"/>
      <c r="B514" s="382"/>
      <c r="C514" s="386">
        <v>2210400</v>
      </c>
      <c r="D514" s="387" t="s">
        <v>28</v>
      </c>
      <c r="E514" s="388">
        <f>SUM(E515:E517)</f>
        <v>694000</v>
      </c>
      <c r="F514" s="319">
        <f t="shared" ref="F514:G514" si="510">E514*1.1</f>
        <v>763400.00000000012</v>
      </c>
      <c r="G514" s="319">
        <f t="shared" si="510"/>
        <v>839740.00000000023</v>
      </c>
      <c r="H514" s="132"/>
    </row>
    <row r="515" spans="1:8" s="290" customFormat="1" outlineLevel="2">
      <c r="A515" s="382"/>
      <c r="B515" s="382"/>
      <c r="C515" s="389">
        <v>2210401</v>
      </c>
      <c r="D515" s="340" t="s">
        <v>24</v>
      </c>
      <c r="E515" s="390">
        <v>316000</v>
      </c>
      <c r="F515" s="319">
        <f t="shared" ref="F515:G515" si="511">E515*1.1</f>
        <v>347600</v>
      </c>
      <c r="G515" s="319">
        <f t="shared" si="511"/>
        <v>382360.00000000006</v>
      </c>
      <c r="H515" s="132"/>
    </row>
    <row r="516" spans="1:8" s="290" customFormat="1" outlineLevel="2">
      <c r="A516" s="382"/>
      <c r="B516" s="382"/>
      <c r="C516" s="389">
        <v>2210402</v>
      </c>
      <c r="D516" s="340" t="s">
        <v>29</v>
      </c>
      <c r="E516" s="390">
        <v>320000</v>
      </c>
      <c r="F516" s="319">
        <f t="shared" ref="F516:G516" si="512">E516*1.1</f>
        <v>352000</v>
      </c>
      <c r="G516" s="319">
        <f t="shared" si="512"/>
        <v>387200.00000000006</v>
      </c>
      <c r="H516" s="132"/>
    </row>
    <row r="517" spans="1:8" s="290" customFormat="1" outlineLevel="2">
      <c r="A517" s="382"/>
      <c r="B517" s="382"/>
      <c r="C517" s="389">
        <v>2210404</v>
      </c>
      <c r="D517" s="340" t="s">
        <v>27</v>
      </c>
      <c r="E517" s="390">
        <v>58000</v>
      </c>
      <c r="F517" s="319">
        <f t="shared" ref="F517:G517" si="513">E517*1.1</f>
        <v>63800.000000000007</v>
      </c>
      <c r="G517" s="319">
        <f t="shared" si="513"/>
        <v>70180.000000000015</v>
      </c>
      <c r="H517" s="132"/>
    </row>
    <row r="518" spans="1:8" s="290" customFormat="1" outlineLevel="2">
      <c r="A518" s="382"/>
      <c r="B518" s="382"/>
      <c r="C518" s="386">
        <v>2210500</v>
      </c>
      <c r="D518" s="387" t="s">
        <v>30</v>
      </c>
      <c r="E518" s="388">
        <f>SUM(E519:E522)</f>
        <v>1460000</v>
      </c>
      <c r="F518" s="319">
        <f t="shared" ref="F518:G518" si="514">E518*1.1</f>
        <v>1606000.0000000002</v>
      </c>
      <c r="G518" s="319">
        <f t="shared" si="514"/>
        <v>1766600.0000000005</v>
      </c>
      <c r="H518" s="132"/>
    </row>
    <row r="519" spans="1:8" s="290" customFormat="1" outlineLevel="2">
      <c r="A519" s="382"/>
      <c r="B519" s="382"/>
      <c r="C519" s="389">
        <v>2210503</v>
      </c>
      <c r="D519" s="340" t="s">
        <v>31</v>
      </c>
      <c r="E519" s="390">
        <v>320000</v>
      </c>
      <c r="F519" s="319">
        <f t="shared" ref="F519:G519" si="515">E519*1.1</f>
        <v>352000</v>
      </c>
      <c r="G519" s="319">
        <f t="shared" si="515"/>
        <v>387200.00000000006</v>
      </c>
      <c r="H519" s="132"/>
    </row>
    <row r="520" spans="1:8" s="290" customFormat="1" outlineLevel="2">
      <c r="A520" s="382"/>
      <c r="B520" s="382"/>
      <c r="C520" s="389">
        <v>2210504</v>
      </c>
      <c r="D520" s="340" t="s">
        <v>32</v>
      </c>
      <c r="E520" s="390">
        <v>380000</v>
      </c>
      <c r="F520" s="319">
        <f t="shared" ref="F520:G520" si="516">E520*1.1</f>
        <v>418000.00000000006</v>
      </c>
      <c r="G520" s="319">
        <f t="shared" si="516"/>
        <v>459800.00000000012</v>
      </c>
      <c r="H520" s="132"/>
    </row>
    <row r="521" spans="1:8" s="290" customFormat="1" outlineLevel="2">
      <c r="A521" s="382"/>
      <c r="B521" s="382"/>
      <c r="C521" s="389" t="s">
        <v>128</v>
      </c>
      <c r="D521" s="340" t="s">
        <v>129</v>
      </c>
      <c r="E521" s="390">
        <v>580000</v>
      </c>
      <c r="F521" s="319">
        <f t="shared" ref="F521:G521" si="517">E521*1.1</f>
        <v>638000</v>
      </c>
      <c r="G521" s="319">
        <f t="shared" si="517"/>
        <v>701800</v>
      </c>
      <c r="H521" s="132"/>
    </row>
    <row r="522" spans="1:8" s="290" customFormat="1" outlineLevel="2">
      <c r="A522" s="382"/>
      <c r="B522" s="382"/>
      <c r="C522" s="389">
        <v>2210599</v>
      </c>
      <c r="D522" s="340" t="s">
        <v>33</v>
      </c>
      <c r="E522" s="390">
        <v>180000</v>
      </c>
      <c r="F522" s="319">
        <f t="shared" ref="F522:G522" si="518">E522*1.1</f>
        <v>198000.00000000003</v>
      </c>
      <c r="G522" s="319">
        <f t="shared" si="518"/>
        <v>217800.00000000006</v>
      </c>
      <c r="H522" s="132"/>
    </row>
    <row r="523" spans="1:8" s="290" customFormat="1" outlineLevel="2">
      <c r="A523" s="382"/>
      <c r="B523" s="382"/>
      <c r="C523" s="386">
        <v>2210700</v>
      </c>
      <c r="D523" s="387" t="s">
        <v>34</v>
      </c>
      <c r="E523" s="388">
        <f>SUM(E524:E529)</f>
        <v>931200</v>
      </c>
      <c r="F523" s="319">
        <f t="shared" ref="F523:G523" si="519">E523*1.1</f>
        <v>1024320.0000000001</v>
      </c>
      <c r="G523" s="319">
        <f t="shared" si="519"/>
        <v>1126752.0000000002</v>
      </c>
      <c r="H523" s="132"/>
    </row>
    <row r="524" spans="1:8" s="290" customFormat="1" outlineLevel="2">
      <c r="A524" s="382"/>
      <c r="B524" s="382"/>
      <c r="C524" s="389">
        <v>2210701</v>
      </c>
      <c r="D524" s="340" t="s">
        <v>35</v>
      </c>
      <c r="E524" s="390">
        <v>280000</v>
      </c>
      <c r="F524" s="319">
        <f t="shared" ref="F524:G524" si="520">E524*1.1</f>
        <v>308000</v>
      </c>
      <c r="G524" s="319">
        <f t="shared" si="520"/>
        <v>338800</v>
      </c>
      <c r="H524" s="132"/>
    </row>
    <row r="525" spans="1:8" s="290" customFormat="1" outlineLevel="2">
      <c r="A525" s="382"/>
      <c r="B525" s="382"/>
      <c r="C525" s="389">
        <v>2210702</v>
      </c>
      <c r="D525" s="340" t="s">
        <v>36</v>
      </c>
      <c r="E525" s="390">
        <v>100000</v>
      </c>
      <c r="F525" s="319">
        <f t="shared" ref="F525:G525" si="521">E525*1.1</f>
        <v>110000.00000000001</v>
      </c>
      <c r="G525" s="319">
        <f t="shared" si="521"/>
        <v>121000.00000000003</v>
      </c>
      <c r="H525" s="132"/>
    </row>
    <row r="526" spans="1:8" s="290" customFormat="1" outlineLevel="2">
      <c r="A526" s="382"/>
      <c r="B526" s="382"/>
      <c r="C526" s="389">
        <v>2210704</v>
      </c>
      <c r="D526" s="340" t="s">
        <v>37</v>
      </c>
      <c r="E526" s="390">
        <v>60000</v>
      </c>
      <c r="F526" s="319">
        <f t="shared" ref="F526:G526" si="522">E526*1.1</f>
        <v>66000</v>
      </c>
      <c r="G526" s="319">
        <f t="shared" si="522"/>
        <v>72600</v>
      </c>
      <c r="H526" s="132"/>
    </row>
    <row r="527" spans="1:8" s="290" customFormat="1" outlineLevel="2">
      <c r="A527" s="382"/>
      <c r="B527" s="382"/>
      <c r="C527" s="389">
        <v>2210710</v>
      </c>
      <c r="D527" s="340" t="s">
        <v>38</v>
      </c>
      <c r="E527" s="390">
        <v>320000</v>
      </c>
      <c r="F527" s="319">
        <f t="shared" ref="F527:G527" si="523">E527*1.1</f>
        <v>352000</v>
      </c>
      <c r="G527" s="319">
        <f t="shared" si="523"/>
        <v>387200.00000000006</v>
      </c>
      <c r="H527" s="132"/>
    </row>
    <row r="528" spans="1:8" s="290" customFormat="1" outlineLevel="2">
      <c r="A528" s="382"/>
      <c r="B528" s="382"/>
      <c r="C528" s="389">
        <v>2210715</v>
      </c>
      <c r="D528" s="340" t="s">
        <v>39</v>
      </c>
      <c r="E528" s="390">
        <v>116000</v>
      </c>
      <c r="F528" s="319">
        <f t="shared" ref="F528:G528" si="524">E528*1.1</f>
        <v>127600.00000000001</v>
      </c>
      <c r="G528" s="319">
        <f t="shared" si="524"/>
        <v>140360.00000000003</v>
      </c>
      <c r="H528" s="132"/>
    </row>
    <row r="529" spans="1:8" s="290" customFormat="1" outlineLevel="2">
      <c r="A529" s="382"/>
      <c r="B529" s="382"/>
      <c r="C529" s="389">
        <v>2210799</v>
      </c>
      <c r="D529" s="340" t="s">
        <v>40</v>
      </c>
      <c r="E529" s="390">
        <v>55200</v>
      </c>
      <c r="F529" s="319">
        <f t="shared" ref="F529:G529" si="525">E529*1.1</f>
        <v>60720.000000000007</v>
      </c>
      <c r="G529" s="319">
        <f t="shared" si="525"/>
        <v>66792.000000000015</v>
      </c>
      <c r="H529" s="132"/>
    </row>
    <row r="530" spans="1:8" s="290" customFormat="1" outlineLevel="2">
      <c r="A530" s="382"/>
      <c r="B530" s="382"/>
      <c r="C530" s="386">
        <v>2210800</v>
      </c>
      <c r="D530" s="387" t="s">
        <v>41</v>
      </c>
      <c r="E530" s="388">
        <f>SUM(E531:E532)</f>
        <v>934000</v>
      </c>
      <c r="F530" s="319">
        <f t="shared" ref="F530:G530" si="526">E530*1.1</f>
        <v>1027400.0000000001</v>
      </c>
      <c r="G530" s="319">
        <f t="shared" si="526"/>
        <v>1130140.0000000002</v>
      </c>
      <c r="H530" s="132"/>
    </row>
    <row r="531" spans="1:8" s="290" customFormat="1" ht="30" outlineLevel="2">
      <c r="A531" s="382"/>
      <c r="B531" s="382"/>
      <c r="C531" s="389">
        <v>2210801</v>
      </c>
      <c r="D531" s="340" t="s">
        <v>42</v>
      </c>
      <c r="E531" s="390">
        <v>654000</v>
      </c>
      <c r="F531" s="319">
        <f t="shared" ref="F531:G531" si="527">E531*1.1</f>
        <v>719400</v>
      </c>
      <c r="G531" s="319">
        <f t="shared" si="527"/>
        <v>791340.00000000012</v>
      </c>
      <c r="H531" s="132"/>
    </row>
    <row r="532" spans="1:8" s="290" customFormat="1" outlineLevel="2">
      <c r="A532" s="382"/>
      <c r="B532" s="382"/>
      <c r="C532" s="389">
        <v>2210802</v>
      </c>
      <c r="D532" s="340" t="s">
        <v>43</v>
      </c>
      <c r="E532" s="390">
        <v>280000</v>
      </c>
      <c r="F532" s="319">
        <f t="shared" ref="F532:G532" si="528">E532*1.1</f>
        <v>308000</v>
      </c>
      <c r="G532" s="319">
        <f t="shared" si="528"/>
        <v>338800</v>
      </c>
      <c r="H532" s="132"/>
    </row>
    <row r="533" spans="1:8" s="290" customFormat="1" outlineLevel="2">
      <c r="A533" s="382"/>
      <c r="B533" s="382"/>
      <c r="C533" s="386">
        <v>2211100</v>
      </c>
      <c r="D533" s="387" t="s">
        <v>49</v>
      </c>
      <c r="E533" s="388">
        <f>SUM(E534:E537)</f>
        <v>870400</v>
      </c>
      <c r="F533" s="319">
        <f t="shared" ref="F533:G533" si="529">E533*1.1</f>
        <v>957440.00000000012</v>
      </c>
      <c r="G533" s="319">
        <f t="shared" si="529"/>
        <v>1053184.0000000002</v>
      </c>
      <c r="H533" s="132"/>
    </row>
    <row r="534" spans="1:8" s="290" customFormat="1" ht="30" outlineLevel="2">
      <c r="A534" s="382"/>
      <c r="B534" s="382"/>
      <c r="C534" s="389">
        <v>2211101</v>
      </c>
      <c r="D534" s="340" t="s">
        <v>50</v>
      </c>
      <c r="E534" s="390">
        <v>230000</v>
      </c>
      <c r="F534" s="319">
        <f t="shared" ref="F534:G534" si="530">E534*1.1</f>
        <v>253000.00000000003</v>
      </c>
      <c r="G534" s="319">
        <f t="shared" si="530"/>
        <v>278300.00000000006</v>
      </c>
      <c r="H534" s="132"/>
    </row>
    <row r="535" spans="1:8" s="290" customFormat="1" outlineLevel="2">
      <c r="A535" s="382"/>
      <c r="B535" s="382"/>
      <c r="C535" s="389">
        <v>2211102</v>
      </c>
      <c r="D535" s="340" t="s">
        <v>51</v>
      </c>
      <c r="E535" s="390">
        <v>120000</v>
      </c>
      <c r="F535" s="319">
        <f t="shared" ref="F535:G535" si="531">E535*1.1</f>
        <v>132000</v>
      </c>
      <c r="G535" s="319">
        <f t="shared" si="531"/>
        <v>145200</v>
      </c>
      <c r="H535" s="132"/>
    </row>
    <row r="536" spans="1:8" s="290" customFormat="1" outlineLevel="2">
      <c r="A536" s="382"/>
      <c r="B536" s="382"/>
      <c r="C536" s="389">
        <v>2211103</v>
      </c>
      <c r="D536" s="340" t="s">
        <v>52</v>
      </c>
      <c r="E536" s="390">
        <v>60000</v>
      </c>
      <c r="F536" s="319">
        <f t="shared" ref="F536:G536" si="532">E536*1.1</f>
        <v>66000</v>
      </c>
      <c r="G536" s="319">
        <f t="shared" si="532"/>
        <v>72600</v>
      </c>
      <c r="H536" s="132"/>
    </row>
    <row r="537" spans="1:8" s="290" customFormat="1" outlineLevel="2">
      <c r="A537" s="382"/>
      <c r="B537" s="382"/>
      <c r="C537" s="389" t="s">
        <v>131</v>
      </c>
      <c r="D537" s="340" t="s">
        <v>132</v>
      </c>
      <c r="E537" s="390">
        <v>460400</v>
      </c>
      <c r="F537" s="319">
        <f t="shared" ref="F537:G537" si="533">E537*1.1</f>
        <v>506440.00000000006</v>
      </c>
      <c r="G537" s="319">
        <f t="shared" si="533"/>
        <v>557084.00000000012</v>
      </c>
      <c r="H537" s="132"/>
    </row>
    <row r="538" spans="1:8" s="290" customFormat="1" outlineLevel="2">
      <c r="A538" s="382"/>
      <c r="B538" s="382"/>
      <c r="C538" s="386">
        <v>2211200</v>
      </c>
      <c r="D538" s="387" t="s">
        <v>53</v>
      </c>
      <c r="E538" s="388">
        <f>SUM(E539)</f>
        <v>520000</v>
      </c>
      <c r="F538" s="319">
        <f t="shared" ref="F538:G538" si="534">E538*1.1</f>
        <v>572000</v>
      </c>
      <c r="G538" s="319">
        <f t="shared" si="534"/>
        <v>629200</v>
      </c>
      <c r="H538" s="132"/>
    </row>
    <row r="539" spans="1:8" s="290" customFormat="1" outlineLevel="2">
      <c r="A539" s="382"/>
      <c r="B539" s="382"/>
      <c r="C539" s="389">
        <v>2211201</v>
      </c>
      <c r="D539" s="340" t="s">
        <v>91</v>
      </c>
      <c r="E539" s="390">
        <v>520000</v>
      </c>
      <c r="F539" s="319">
        <f t="shared" ref="F539:G539" si="535">E539*1.1</f>
        <v>572000</v>
      </c>
      <c r="G539" s="319">
        <f t="shared" si="535"/>
        <v>629200</v>
      </c>
      <c r="H539" s="132"/>
    </row>
    <row r="540" spans="1:8" s="290" customFormat="1" outlineLevel="2">
      <c r="A540" s="382"/>
      <c r="B540" s="382"/>
      <c r="C540" s="386">
        <v>2211300</v>
      </c>
      <c r="D540" s="387" t="s">
        <v>55</v>
      </c>
      <c r="E540" s="388">
        <f>SUM(E541:E542)</f>
        <v>1110000</v>
      </c>
      <c r="F540" s="319">
        <f t="shared" ref="F540:G540" si="536">E540*1.1</f>
        <v>1221000</v>
      </c>
      <c r="G540" s="319">
        <f t="shared" si="536"/>
        <v>1343100</v>
      </c>
      <c r="H540" s="132"/>
    </row>
    <row r="541" spans="1:8" s="290" customFormat="1" outlineLevel="2">
      <c r="A541" s="382"/>
      <c r="B541" s="382"/>
      <c r="C541" s="389">
        <v>2211320</v>
      </c>
      <c r="D541" s="340" t="s">
        <v>59</v>
      </c>
      <c r="E541" s="390">
        <v>230000</v>
      </c>
      <c r="F541" s="319">
        <f t="shared" ref="F541:G541" si="537">E541*1.1</f>
        <v>253000.00000000003</v>
      </c>
      <c r="G541" s="319">
        <f t="shared" si="537"/>
        <v>278300.00000000006</v>
      </c>
      <c r="H541" s="132"/>
    </row>
    <row r="542" spans="1:8" s="290" customFormat="1" outlineLevel="2">
      <c r="A542" s="382"/>
      <c r="B542" s="382"/>
      <c r="C542" s="389">
        <v>2211399</v>
      </c>
      <c r="D542" s="340" t="s">
        <v>60</v>
      </c>
      <c r="E542" s="390">
        <v>880000</v>
      </c>
      <c r="F542" s="319">
        <f t="shared" ref="F542:G542" si="538">E542*1.1</f>
        <v>968000.00000000012</v>
      </c>
      <c r="G542" s="319">
        <f t="shared" si="538"/>
        <v>1064800.0000000002</v>
      </c>
      <c r="H542" s="132"/>
    </row>
    <row r="543" spans="1:8" s="290" customFormat="1" ht="30" outlineLevel="2">
      <c r="A543" s="382"/>
      <c r="B543" s="382"/>
      <c r="C543" s="386">
        <v>2220100</v>
      </c>
      <c r="D543" s="387" t="s">
        <v>61</v>
      </c>
      <c r="E543" s="388">
        <f>SUM(E544:E545)</f>
        <v>480000</v>
      </c>
      <c r="F543" s="319">
        <f t="shared" ref="F543:G543" si="539">E543*1.1</f>
        <v>528000</v>
      </c>
      <c r="G543" s="319">
        <f t="shared" si="539"/>
        <v>580800</v>
      </c>
      <c r="H543" s="132"/>
    </row>
    <row r="544" spans="1:8" s="290" customFormat="1" outlineLevel="2">
      <c r="A544" s="382"/>
      <c r="B544" s="382"/>
      <c r="C544" s="389">
        <v>2220101</v>
      </c>
      <c r="D544" s="340" t="s">
        <v>62</v>
      </c>
      <c r="E544" s="390">
        <v>260000</v>
      </c>
      <c r="F544" s="319">
        <f t="shared" ref="F544:G544" si="540">E544*1.1</f>
        <v>286000</v>
      </c>
      <c r="G544" s="319">
        <f t="shared" si="540"/>
        <v>314600</v>
      </c>
      <c r="H544" s="132"/>
    </row>
    <row r="545" spans="1:8" s="290" customFormat="1" outlineLevel="2">
      <c r="A545" s="382"/>
      <c r="B545" s="382"/>
      <c r="C545" s="389">
        <v>2220105</v>
      </c>
      <c r="D545" s="340" t="s">
        <v>64</v>
      </c>
      <c r="E545" s="390">
        <v>220000</v>
      </c>
      <c r="F545" s="319">
        <f t="shared" ref="F545:G545" si="541">E545*1.1</f>
        <v>242000.00000000003</v>
      </c>
      <c r="G545" s="319">
        <f t="shared" si="541"/>
        <v>266200.00000000006</v>
      </c>
      <c r="H545" s="132"/>
    </row>
    <row r="546" spans="1:8" s="290" customFormat="1" outlineLevel="2">
      <c r="A546" s="382"/>
      <c r="B546" s="382"/>
      <c r="C546" s="386">
        <v>3110900</v>
      </c>
      <c r="D546" s="387" t="s">
        <v>134</v>
      </c>
      <c r="E546" s="388">
        <f>SUM(E547:E547)</f>
        <v>45000</v>
      </c>
      <c r="F546" s="319">
        <f t="shared" ref="F546:G546" si="542">E546*1.1</f>
        <v>49500.000000000007</v>
      </c>
      <c r="G546" s="319">
        <f t="shared" si="542"/>
        <v>54450.000000000015</v>
      </c>
      <c r="H546" s="132"/>
    </row>
    <row r="547" spans="1:8" s="290" customFormat="1" outlineLevel="2">
      <c r="A547" s="382"/>
      <c r="B547" s="382"/>
      <c r="C547" s="389">
        <v>3111003</v>
      </c>
      <c r="D547" s="340" t="s">
        <v>135</v>
      </c>
      <c r="E547" s="390">
        <v>45000</v>
      </c>
      <c r="F547" s="319">
        <f t="shared" ref="F547:G547" si="543">E547*1.1</f>
        <v>49500.000000000007</v>
      </c>
      <c r="G547" s="319">
        <f t="shared" si="543"/>
        <v>54450.000000000015</v>
      </c>
      <c r="H547" s="132"/>
    </row>
    <row r="548" spans="1:8" s="290" customFormat="1" outlineLevel="2">
      <c r="A548" s="382"/>
      <c r="B548" s="382"/>
      <c r="C548" s="386">
        <v>3111000</v>
      </c>
      <c r="D548" s="387" t="s">
        <v>65</v>
      </c>
      <c r="E548" s="388">
        <f>E549+E550</f>
        <v>1346000</v>
      </c>
      <c r="F548" s="319">
        <f t="shared" ref="F548:G548" si="544">E548*1.1</f>
        <v>1480600.0000000002</v>
      </c>
      <c r="G548" s="319">
        <f t="shared" si="544"/>
        <v>1628660.0000000005</v>
      </c>
      <c r="H548" s="132"/>
    </row>
    <row r="549" spans="1:8" s="290" customFormat="1" outlineLevel="2">
      <c r="A549" s="382"/>
      <c r="B549" s="382"/>
      <c r="C549" s="389">
        <v>3111001</v>
      </c>
      <c r="D549" s="340" t="s">
        <v>66</v>
      </c>
      <c r="E549" s="390">
        <v>830000</v>
      </c>
      <c r="F549" s="319">
        <f t="shared" ref="F549:G549" si="545">E549*1.1</f>
        <v>913000.00000000012</v>
      </c>
      <c r="G549" s="319">
        <f t="shared" si="545"/>
        <v>1004300.0000000002</v>
      </c>
      <c r="H549" s="132"/>
    </row>
    <row r="550" spans="1:8" s="290" customFormat="1" outlineLevel="2">
      <c r="A550" s="382"/>
      <c r="B550" s="382"/>
      <c r="C550" s="389">
        <v>3111002</v>
      </c>
      <c r="D550" s="340" t="s">
        <v>67</v>
      </c>
      <c r="E550" s="390">
        <v>516000</v>
      </c>
      <c r="F550" s="319">
        <f t="shared" ref="F550:G550" si="546">E550*1.1</f>
        <v>567600</v>
      </c>
      <c r="G550" s="319">
        <f t="shared" si="546"/>
        <v>624360</v>
      </c>
      <c r="H550" s="132"/>
    </row>
    <row r="551" spans="1:8" s="290" customFormat="1" outlineLevel="1">
      <c r="A551" s="382"/>
      <c r="B551" s="382"/>
      <c r="C551" s="391"/>
      <c r="D551" s="392" t="s">
        <v>70</v>
      </c>
      <c r="E551" s="393">
        <f>E548+E546+E543+E540+E538+E533+E530+E523+E518+E514+E509+E505+E502</f>
        <v>10391500</v>
      </c>
      <c r="F551" s="319">
        <f t="shared" ref="F551:G551" si="547">E551*1.1</f>
        <v>11430650</v>
      </c>
      <c r="G551" s="319">
        <f t="shared" si="547"/>
        <v>12573715.000000002</v>
      </c>
      <c r="H551" s="132"/>
    </row>
    <row r="552" spans="1:8" s="290" customFormat="1" outlineLevel="1">
      <c r="A552" s="382"/>
      <c r="B552" s="382"/>
      <c r="C552" s="385"/>
      <c r="D552" s="385"/>
      <c r="E552" s="382"/>
      <c r="F552" s="319">
        <f t="shared" ref="F552:G552" si="548">E552*1.1</f>
        <v>0</v>
      </c>
      <c r="G552" s="319">
        <f t="shared" si="548"/>
        <v>0</v>
      </c>
      <c r="H552" s="132"/>
    </row>
    <row r="553" spans="1:8" s="290" customFormat="1" outlineLevel="1">
      <c r="A553" s="382"/>
      <c r="B553" s="382"/>
      <c r="C553" s="394" t="s">
        <v>144</v>
      </c>
      <c r="D553" s="395"/>
      <c r="E553" s="397"/>
      <c r="F553" s="319">
        <f t="shared" ref="F553:G553" si="549">E553*1.1</f>
        <v>0</v>
      </c>
      <c r="G553" s="319">
        <f t="shared" si="549"/>
        <v>0</v>
      </c>
      <c r="H553" s="132"/>
    </row>
    <row r="554" spans="1:8" s="290" customFormat="1" outlineLevel="2">
      <c r="A554" s="382"/>
      <c r="B554" s="382"/>
      <c r="C554" s="386">
        <v>2210100</v>
      </c>
      <c r="D554" s="387" t="s">
        <v>16</v>
      </c>
      <c r="E554" s="388">
        <f>E555+E556</f>
        <v>138000</v>
      </c>
      <c r="F554" s="319">
        <f t="shared" ref="F554:G554" si="550">E554*1.1</f>
        <v>151800</v>
      </c>
      <c r="G554" s="319">
        <f t="shared" si="550"/>
        <v>166980</v>
      </c>
      <c r="H554" s="132"/>
    </row>
    <row r="555" spans="1:8" s="290" customFormat="1" outlineLevel="2">
      <c r="A555" s="382"/>
      <c r="B555" s="382"/>
      <c r="C555" s="389">
        <v>2210101</v>
      </c>
      <c r="D555" s="340" t="s">
        <v>17</v>
      </c>
      <c r="E555" s="390">
        <v>58000</v>
      </c>
      <c r="F555" s="319">
        <f t="shared" ref="F555:G555" si="551">E555*1.1</f>
        <v>63800.000000000007</v>
      </c>
      <c r="G555" s="319">
        <f t="shared" si="551"/>
        <v>70180.000000000015</v>
      </c>
      <c r="H555" s="132"/>
    </row>
    <row r="556" spans="1:8" s="290" customFormat="1" outlineLevel="2">
      <c r="A556" s="382"/>
      <c r="B556" s="382"/>
      <c r="C556" s="389">
        <v>2210102</v>
      </c>
      <c r="D556" s="340" t="s">
        <v>18</v>
      </c>
      <c r="E556" s="390">
        <v>80000</v>
      </c>
      <c r="F556" s="319">
        <f t="shared" ref="F556:G556" si="552">E556*1.1</f>
        <v>88000</v>
      </c>
      <c r="G556" s="319">
        <f t="shared" si="552"/>
        <v>96800.000000000015</v>
      </c>
      <c r="H556" s="132"/>
    </row>
    <row r="557" spans="1:8" s="290" customFormat="1" outlineLevel="2">
      <c r="A557" s="382"/>
      <c r="B557" s="382"/>
      <c r="C557" s="386">
        <v>2210200</v>
      </c>
      <c r="D557" s="387" t="s">
        <v>19</v>
      </c>
      <c r="E557" s="388">
        <f>E558+E559+E560</f>
        <v>545000</v>
      </c>
      <c r="F557" s="319">
        <f t="shared" ref="F557:G557" si="553">E557*1.1</f>
        <v>599500</v>
      </c>
      <c r="G557" s="319">
        <f t="shared" si="553"/>
        <v>659450</v>
      </c>
      <c r="H557" s="132"/>
    </row>
    <row r="558" spans="1:8" s="290" customFormat="1" outlineLevel="2">
      <c r="A558" s="382"/>
      <c r="B558" s="382"/>
      <c r="C558" s="389">
        <v>2210201</v>
      </c>
      <c r="D558" s="340" t="s">
        <v>20</v>
      </c>
      <c r="E558" s="390">
        <v>380000</v>
      </c>
      <c r="F558" s="319">
        <f t="shared" ref="F558:G558" si="554">E558*1.1</f>
        <v>418000.00000000006</v>
      </c>
      <c r="G558" s="319">
        <f t="shared" si="554"/>
        <v>459800.00000000012</v>
      </c>
      <c r="H558" s="132"/>
    </row>
    <row r="559" spans="1:8" s="290" customFormat="1" outlineLevel="2">
      <c r="A559" s="382"/>
      <c r="B559" s="382"/>
      <c r="C559" s="389">
        <v>2210202</v>
      </c>
      <c r="D559" s="340" t="s">
        <v>21</v>
      </c>
      <c r="E559" s="390">
        <v>85000</v>
      </c>
      <c r="F559" s="319">
        <f t="shared" ref="F559:G559" si="555">E559*1.1</f>
        <v>93500.000000000015</v>
      </c>
      <c r="G559" s="319">
        <f t="shared" si="555"/>
        <v>102850.00000000003</v>
      </c>
      <c r="H559" s="132"/>
    </row>
    <row r="560" spans="1:8" s="290" customFormat="1" outlineLevel="2">
      <c r="A560" s="382"/>
      <c r="B560" s="382"/>
      <c r="C560" s="389">
        <v>2210203</v>
      </c>
      <c r="D560" s="340" t="s">
        <v>22</v>
      </c>
      <c r="E560" s="390">
        <v>80000</v>
      </c>
      <c r="F560" s="319">
        <f t="shared" ref="F560:G560" si="556">E560*1.1</f>
        <v>88000</v>
      </c>
      <c r="G560" s="319">
        <f t="shared" si="556"/>
        <v>96800.000000000015</v>
      </c>
      <c r="H560" s="132"/>
    </row>
    <row r="561" spans="1:8" s="290" customFormat="1" ht="30" outlineLevel="2">
      <c r="A561" s="382"/>
      <c r="B561" s="382"/>
      <c r="C561" s="386">
        <v>2210300</v>
      </c>
      <c r="D561" s="387" t="s">
        <v>23</v>
      </c>
      <c r="E561" s="388">
        <f>SUM(E562:E565)</f>
        <v>1164000</v>
      </c>
      <c r="F561" s="319">
        <f t="shared" ref="F561:G561" si="557">E561*1.1</f>
        <v>1280400</v>
      </c>
      <c r="G561" s="319">
        <f t="shared" si="557"/>
        <v>1408440</v>
      </c>
      <c r="H561" s="132"/>
    </row>
    <row r="562" spans="1:8" s="290" customFormat="1" outlineLevel="2">
      <c r="A562" s="382"/>
      <c r="B562" s="382"/>
      <c r="C562" s="389">
        <v>2210301</v>
      </c>
      <c r="D562" s="340" t="s">
        <v>24</v>
      </c>
      <c r="E562" s="390">
        <v>480000</v>
      </c>
      <c r="F562" s="319">
        <f t="shared" ref="F562:G562" si="558">E562*1.1</f>
        <v>528000</v>
      </c>
      <c r="G562" s="319">
        <f t="shared" si="558"/>
        <v>580800</v>
      </c>
      <c r="H562" s="132"/>
    </row>
    <row r="563" spans="1:8" s="290" customFormat="1" outlineLevel="2">
      <c r="A563" s="382"/>
      <c r="B563" s="382"/>
      <c r="C563" s="389">
        <v>2210302</v>
      </c>
      <c r="D563" s="340" t="s">
        <v>25</v>
      </c>
      <c r="E563" s="390">
        <v>320000</v>
      </c>
      <c r="F563" s="319">
        <f t="shared" ref="F563:G563" si="559">E563*1.1</f>
        <v>352000</v>
      </c>
      <c r="G563" s="319">
        <f t="shared" si="559"/>
        <v>387200.00000000006</v>
      </c>
      <c r="H563" s="132"/>
    </row>
    <row r="564" spans="1:8" s="290" customFormat="1" outlineLevel="2">
      <c r="A564" s="382"/>
      <c r="B564" s="382"/>
      <c r="C564" s="389">
        <v>2210303</v>
      </c>
      <c r="D564" s="340" t="s">
        <v>26</v>
      </c>
      <c r="E564" s="390">
        <v>248000</v>
      </c>
      <c r="F564" s="319">
        <f t="shared" ref="F564:G564" si="560">E564*1.1</f>
        <v>272800</v>
      </c>
      <c r="G564" s="319">
        <f t="shared" si="560"/>
        <v>300080</v>
      </c>
      <c r="H564" s="132"/>
    </row>
    <row r="565" spans="1:8" s="290" customFormat="1" outlineLevel="2">
      <c r="A565" s="382"/>
      <c r="B565" s="382"/>
      <c r="C565" s="389">
        <v>2210304</v>
      </c>
      <c r="D565" s="340" t="s">
        <v>27</v>
      </c>
      <c r="E565" s="390">
        <v>116000</v>
      </c>
      <c r="F565" s="319">
        <f t="shared" ref="F565:G565" si="561">E565*1.1</f>
        <v>127600.00000000001</v>
      </c>
      <c r="G565" s="319">
        <f t="shared" si="561"/>
        <v>140360.00000000003</v>
      </c>
      <c r="H565" s="132"/>
    </row>
    <row r="566" spans="1:8" s="290" customFormat="1" outlineLevel="2">
      <c r="A566" s="382"/>
      <c r="B566" s="382"/>
      <c r="C566" s="386">
        <v>2210400</v>
      </c>
      <c r="D566" s="387" t="s">
        <v>28</v>
      </c>
      <c r="E566" s="388">
        <f>SUM(E567:E569)</f>
        <v>294000</v>
      </c>
      <c r="F566" s="319">
        <f t="shared" ref="F566:G566" si="562">E566*1.1</f>
        <v>323400</v>
      </c>
      <c r="G566" s="319">
        <f t="shared" si="562"/>
        <v>355740</v>
      </c>
      <c r="H566" s="132"/>
    </row>
    <row r="567" spans="1:8" s="290" customFormat="1" outlineLevel="2">
      <c r="A567" s="382"/>
      <c r="B567" s="382"/>
      <c r="C567" s="389">
        <v>2210401</v>
      </c>
      <c r="D567" s="340" t="s">
        <v>24</v>
      </c>
      <c r="E567" s="390">
        <v>116000</v>
      </c>
      <c r="F567" s="319">
        <f t="shared" ref="F567:G567" si="563">E567*1.1</f>
        <v>127600.00000000001</v>
      </c>
      <c r="G567" s="319">
        <f t="shared" si="563"/>
        <v>140360.00000000003</v>
      </c>
      <c r="H567" s="132"/>
    </row>
    <row r="568" spans="1:8" s="290" customFormat="1" outlineLevel="2">
      <c r="A568" s="382"/>
      <c r="B568" s="382"/>
      <c r="C568" s="389">
        <v>2210402</v>
      </c>
      <c r="D568" s="340" t="s">
        <v>29</v>
      </c>
      <c r="E568" s="390">
        <v>120000</v>
      </c>
      <c r="F568" s="319">
        <f t="shared" ref="F568:G568" si="564">E568*1.1</f>
        <v>132000</v>
      </c>
      <c r="G568" s="319">
        <f t="shared" si="564"/>
        <v>145200</v>
      </c>
      <c r="H568" s="132"/>
    </row>
    <row r="569" spans="1:8" s="290" customFormat="1" outlineLevel="2">
      <c r="A569" s="382"/>
      <c r="B569" s="382"/>
      <c r="C569" s="389">
        <v>2210404</v>
      </c>
      <c r="D569" s="340" t="s">
        <v>27</v>
      </c>
      <c r="E569" s="390">
        <v>58000</v>
      </c>
      <c r="F569" s="319">
        <f t="shared" ref="F569:G569" si="565">E569*1.1</f>
        <v>63800.000000000007</v>
      </c>
      <c r="G569" s="319">
        <f t="shared" si="565"/>
        <v>70180.000000000015</v>
      </c>
      <c r="H569" s="132"/>
    </row>
    <row r="570" spans="1:8" s="290" customFormat="1" outlineLevel="2">
      <c r="A570" s="382"/>
      <c r="B570" s="382"/>
      <c r="C570" s="386">
        <v>2210500</v>
      </c>
      <c r="D570" s="387" t="s">
        <v>30</v>
      </c>
      <c r="E570" s="388">
        <f>SUM(E571:E574)</f>
        <v>1670000</v>
      </c>
      <c r="F570" s="319">
        <f t="shared" ref="F570:G570" si="566">E570*1.1</f>
        <v>1837000.0000000002</v>
      </c>
      <c r="G570" s="319">
        <f t="shared" si="566"/>
        <v>2020700.0000000005</v>
      </c>
      <c r="H570" s="132"/>
    </row>
    <row r="571" spans="1:8" s="290" customFormat="1" outlineLevel="2">
      <c r="A571" s="382"/>
      <c r="B571" s="382"/>
      <c r="C571" s="389">
        <v>2210503</v>
      </c>
      <c r="D571" s="340" t="s">
        <v>31</v>
      </c>
      <c r="E571" s="390">
        <v>320000</v>
      </c>
      <c r="F571" s="319">
        <f t="shared" ref="F571:G571" si="567">E571*1.1</f>
        <v>352000</v>
      </c>
      <c r="G571" s="319">
        <f t="shared" si="567"/>
        <v>387200.00000000006</v>
      </c>
      <c r="H571" s="132"/>
    </row>
    <row r="572" spans="1:8" s="290" customFormat="1" outlineLevel="2">
      <c r="A572" s="382"/>
      <c r="B572" s="382"/>
      <c r="C572" s="389">
        <v>2210504</v>
      </c>
      <c r="D572" s="340" t="s">
        <v>32</v>
      </c>
      <c r="E572" s="390">
        <v>380000</v>
      </c>
      <c r="F572" s="319">
        <f t="shared" ref="F572:G572" si="568">E572*1.1</f>
        <v>418000.00000000006</v>
      </c>
      <c r="G572" s="319">
        <f t="shared" si="568"/>
        <v>459800.00000000012</v>
      </c>
      <c r="H572" s="132"/>
    </row>
    <row r="573" spans="1:8" s="290" customFormat="1" outlineLevel="2">
      <c r="A573" s="382"/>
      <c r="B573" s="382"/>
      <c r="C573" s="389" t="s">
        <v>128</v>
      </c>
      <c r="D573" s="340" t="s">
        <v>129</v>
      </c>
      <c r="E573" s="390">
        <v>580000</v>
      </c>
      <c r="F573" s="319">
        <f t="shared" ref="F573:G573" si="569">E573*1.1</f>
        <v>638000</v>
      </c>
      <c r="G573" s="319">
        <f t="shared" si="569"/>
        <v>701800</v>
      </c>
      <c r="H573" s="132"/>
    </row>
    <row r="574" spans="1:8" s="290" customFormat="1" outlineLevel="2">
      <c r="A574" s="382"/>
      <c r="B574" s="382"/>
      <c r="C574" s="389">
        <v>2210599</v>
      </c>
      <c r="D574" s="340" t="s">
        <v>33</v>
      </c>
      <c r="E574" s="390">
        <v>390000</v>
      </c>
      <c r="F574" s="319">
        <f t="shared" ref="F574:G574" si="570">E574*1.1</f>
        <v>429000.00000000006</v>
      </c>
      <c r="G574" s="319">
        <f t="shared" si="570"/>
        <v>471900.00000000012</v>
      </c>
      <c r="H574" s="132"/>
    </row>
    <row r="575" spans="1:8" s="290" customFormat="1" outlineLevel="2">
      <c r="A575" s="382"/>
      <c r="B575" s="382"/>
      <c r="C575" s="386">
        <v>2210700</v>
      </c>
      <c r="D575" s="387" t="s">
        <v>34</v>
      </c>
      <c r="E575" s="388">
        <f>SUM(E576:E581)</f>
        <v>715000</v>
      </c>
      <c r="F575" s="319">
        <f t="shared" ref="F575:G575" si="571">E575*1.1</f>
        <v>786500.00000000012</v>
      </c>
      <c r="G575" s="319">
        <f t="shared" si="571"/>
        <v>865150.00000000023</v>
      </c>
      <c r="H575" s="132"/>
    </row>
    <row r="576" spans="1:8" s="290" customFormat="1" outlineLevel="2">
      <c r="A576" s="382"/>
      <c r="B576" s="382"/>
      <c r="C576" s="389">
        <v>2210701</v>
      </c>
      <c r="D576" s="340" t="s">
        <v>35</v>
      </c>
      <c r="E576" s="390">
        <f>(945000-500000)*0.2</f>
        <v>89000</v>
      </c>
      <c r="F576" s="319">
        <f t="shared" ref="F576:G576" si="572">E576*1.1</f>
        <v>97900.000000000015</v>
      </c>
      <c r="G576" s="319">
        <f t="shared" si="572"/>
        <v>107690.00000000003</v>
      </c>
      <c r="H576" s="132"/>
    </row>
    <row r="577" spans="1:8" s="290" customFormat="1" outlineLevel="2">
      <c r="A577" s="382"/>
      <c r="B577" s="382"/>
      <c r="C577" s="389">
        <v>2210702</v>
      </c>
      <c r="D577" s="340" t="s">
        <v>36</v>
      </c>
      <c r="E577" s="390">
        <v>100000</v>
      </c>
      <c r="F577" s="319">
        <f t="shared" ref="F577:G577" si="573">E577*1.1</f>
        <v>110000.00000000001</v>
      </c>
      <c r="G577" s="319">
        <f t="shared" si="573"/>
        <v>121000.00000000003</v>
      </c>
      <c r="H577" s="132"/>
    </row>
    <row r="578" spans="1:8" s="290" customFormat="1" outlineLevel="2">
      <c r="A578" s="382"/>
      <c r="B578" s="382"/>
      <c r="C578" s="389">
        <v>2210704</v>
      </c>
      <c r="D578" s="340" t="s">
        <v>37</v>
      </c>
      <c r="E578" s="390">
        <v>60000</v>
      </c>
      <c r="F578" s="319">
        <f t="shared" ref="F578:G578" si="574">E578*1.1</f>
        <v>66000</v>
      </c>
      <c r="G578" s="319">
        <f t="shared" si="574"/>
        <v>72600</v>
      </c>
      <c r="H578" s="132"/>
    </row>
    <row r="579" spans="1:8" s="290" customFormat="1" outlineLevel="2">
      <c r="A579" s="382"/>
      <c r="B579" s="382"/>
      <c r="C579" s="389">
        <v>2210710</v>
      </c>
      <c r="D579" s="340" t="s">
        <v>38</v>
      </c>
      <c r="E579" s="390">
        <v>170000</v>
      </c>
      <c r="F579" s="319">
        <f t="shared" ref="F579:G579" si="575">E579*1.1</f>
        <v>187000.00000000003</v>
      </c>
      <c r="G579" s="319">
        <f t="shared" si="575"/>
        <v>205700.00000000006</v>
      </c>
      <c r="H579" s="132"/>
    </row>
    <row r="580" spans="1:8" s="290" customFormat="1" outlineLevel="2">
      <c r="A580" s="382"/>
      <c r="B580" s="382"/>
      <c r="C580" s="389">
        <v>2210715</v>
      </c>
      <c r="D580" s="340" t="s">
        <v>39</v>
      </c>
      <c r="E580" s="390">
        <f>(580000+500000-500000)*0.2</f>
        <v>116000</v>
      </c>
      <c r="F580" s="319">
        <f t="shared" ref="F580:G580" si="576">E580*1.1</f>
        <v>127600.00000000001</v>
      </c>
      <c r="G580" s="319">
        <f t="shared" si="576"/>
        <v>140360.00000000003</v>
      </c>
      <c r="H580" s="132"/>
    </row>
    <row r="581" spans="1:8" s="290" customFormat="1" outlineLevel="2">
      <c r="A581" s="382"/>
      <c r="B581" s="382"/>
      <c r="C581" s="389">
        <v>2210799</v>
      </c>
      <c r="D581" s="340" t="s">
        <v>40</v>
      </c>
      <c r="E581" s="390">
        <v>180000</v>
      </c>
      <c r="F581" s="319">
        <f t="shared" ref="F581:G581" si="577">E581*1.1</f>
        <v>198000.00000000003</v>
      </c>
      <c r="G581" s="319">
        <f t="shared" si="577"/>
        <v>217800.00000000006</v>
      </c>
      <c r="H581" s="132"/>
    </row>
    <row r="582" spans="1:8" s="290" customFormat="1" outlineLevel="2">
      <c r="A582" s="382"/>
      <c r="B582" s="382"/>
      <c r="C582" s="386">
        <v>2210800</v>
      </c>
      <c r="D582" s="387" t="s">
        <v>41</v>
      </c>
      <c r="E582" s="388">
        <f>SUM(E583:E584)</f>
        <v>884000</v>
      </c>
      <c r="F582" s="319">
        <f t="shared" ref="F582:G582" si="578">E582*1.1</f>
        <v>972400.00000000012</v>
      </c>
      <c r="G582" s="319">
        <f t="shared" si="578"/>
        <v>1069640.0000000002</v>
      </c>
      <c r="H582" s="132"/>
    </row>
    <row r="583" spans="1:8" s="290" customFormat="1" ht="30" outlineLevel="2">
      <c r="A583" s="382"/>
      <c r="B583" s="382"/>
      <c r="C583" s="389">
        <v>2210801</v>
      </c>
      <c r="D583" s="340" t="s">
        <v>42</v>
      </c>
      <c r="E583" s="390">
        <v>468000</v>
      </c>
      <c r="F583" s="319">
        <f t="shared" ref="F583:G583" si="579">E583*1.1</f>
        <v>514800.00000000006</v>
      </c>
      <c r="G583" s="319">
        <f t="shared" si="579"/>
        <v>566280.00000000012</v>
      </c>
      <c r="H583" s="132"/>
    </row>
    <row r="584" spans="1:8" s="290" customFormat="1" outlineLevel="2">
      <c r="A584" s="382"/>
      <c r="B584" s="382"/>
      <c r="C584" s="389">
        <v>2210802</v>
      </c>
      <c r="D584" s="340" t="s">
        <v>43</v>
      </c>
      <c r="E584" s="390">
        <v>416000</v>
      </c>
      <c r="F584" s="319">
        <f t="shared" ref="F584:G584" si="580">E584*1.1</f>
        <v>457600.00000000006</v>
      </c>
      <c r="G584" s="319">
        <f t="shared" si="580"/>
        <v>503360.00000000012</v>
      </c>
      <c r="H584" s="132"/>
    </row>
    <row r="585" spans="1:8" s="290" customFormat="1" outlineLevel="2">
      <c r="A585" s="382"/>
      <c r="B585" s="382"/>
      <c r="C585" s="386">
        <v>2211100</v>
      </c>
      <c r="D585" s="387" t="s">
        <v>49</v>
      </c>
      <c r="E585" s="388">
        <f>SUM(E586:E589)</f>
        <v>1594000</v>
      </c>
      <c r="F585" s="319">
        <f t="shared" ref="F585:G585" si="581">E585*1.1</f>
        <v>1753400.0000000002</v>
      </c>
      <c r="G585" s="319">
        <f t="shared" si="581"/>
        <v>1928740.0000000005</v>
      </c>
      <c r="H585" s="132"/>
    </row>
    <row r="586" spans="1:8" s="290" customFormat="1" ht="30" outlineLevel="2">
      <c r="A586" s="382"/>
      <c r="B586" s="382"/>
      <c r="C586" s="389">
        <v>2211101</v>
      </c>
      <c r="D586" s="340" t="s">
        <v>50</v>
      </c>
      <c r="E586" s="390">
        <v>480000</v>
      </c>
      <c r="F586" s="319">
        <f t="shared" ref="F586:G586" si="582">E586*1.1</f>
        <v>528000</v>
      </c>
      <c r="G586" s="319">
        <f t="shared" si="582"/>
        <v>580800</v>
      </c>
      <c r="H586" s="132"/>
    </row>
    <row r="587" spans="1:8" s="290" customFormat="1" outlineLevel="2">
      <c r="A587" s="382"/>
      <c r="B587" s="382"/>
      <c r="C587" s="389">
        <v>2211102</v>
      </c>
      <c r="D587" s="340" t="s">
        <v>51</v>
      </c>
      <c r="E587" s="390">
        <v>416000</v>
      </c>
      <c r="F587" s="319">
        <f t="shared" ref="F587:G587" si="583">E587*1.1</f>
        <v>457600.00000000006</v>
      </c>
      <c r="G587" s="319">
        <f t="shared" si="583"/>
        <v>503360.00000000012</v>
      </c>
      <c r="H587" s="132"/>
    </row>
    <row r="588" spans="1:8" s="290" customFormat="1" outlineLevel="2">
      <c r="A588" s="382"/>
      <c r="B588" s="382"/>
      <c r="C588" s="389">
        <v>2211103</v>
      </c>
      <c r="D588" s="340" t="s">
        <v>52</v>
      </c>
      <c r="E588" s="390">
        <v>116000</v>
      </c>
      <c r="F588" s="319">
        <f t="shared" ref="F588:G588" si="584">E588*1.1</f>
        <v>127600.00000000001</v>
      </c>
      <c r="G588" s="319">
        <f t="shared" si="584"/>
        <v>140360.00000000003</v>
      </c>
      <c r="H588" s="132"/>
    </row>
    <row r="589" spans="1:8" s="290" customFormat="1" outlineLevel="2">
      <c r="A589" s="382"/>
      <c r="B589" s="382"/>
      <c r="C589" s="389" t="s">
        <v>131</v>
      </c>
      <c r="D589" s="340" t="s">
        <v>132</v>
      </c>
      <c r="E589" s="390">
        <v>582000</v>
      </c>
      <c r="F589" s="319">
        <f t="shared" ref="F589:G589" si="585">E589*1.1</f>
        <v>640200</v>
      </c>
      <c r="G589" s="319">
        <f t="shared" si="585"/>
        <v>704220</v>
      </c>
      <c r="H589" s="132"/>
    </row>
    <row r="590" spans="1:8" s="290" customFormat="1" outlineLevel="2">
      <c r="A590" s="382"/>
      <c r="B590" s="382"/>
      <c r="C590" s="386">
        <v>2211200</v>
      </c>
      <c r="D590" s="387" t="s">
        <v>53</v>
      </c>
      <c r="E590" s="388">
        <f>SUM(E591)</f>
        <v>1033000</v>
      </c>
      <c r="F590" s="319">
        <f t="shared" ref="F590:G590" si="586">E590*1.1</f>
        <v>1136300</v>
      </c>
      <c r="G590" s="319">
        <f t="shared" si="586"/>
        <v>1249930</v>
      </c>
      <c r="H590" s="132"/>
    </row>
    <row r="591" spans="1:8" s="290" customFormat="1" outlineLevel="2">
      <c r="A591" s="382"/>
      <c r="B591" s="382"/>
      <c r="C591" s="389">
        <v>2211201</v>
      </c>
      <c r="D591" s="340" t="s">
        <v>91</v>
      </c>
      <c r="E591" s="390">
        <v>1033000</v>
      </c>
      <c r="F591" s="319">
        <f t="shared" ref="F591:G591" si="587">E591*1.1</f>
        <v>1136300</v>
      </c>
      <c r="G591" s="319">
        <f t="shared" si="587"/>
        <v>1249930</v>
      </c>
      <c r="H591" s="132"/>
    </row>
    <row r="592" spans="1:8" s="290" customFormat="1" outlineLevel="2">
      <c r="A592" s="382"/>
      <c r="B592" s="382"/>
      <c r="C592" s="386">
        <v>2211300</v>
      </c>
      <c r="D592" s="387" t="s">
        <v>55</v>
      </c>
      <c r="E592" s="388">
        <f>SUM(E593:E594)</f>
        <v>940000</v>
      </c>
      <c r="F592" s="319">
        <f t="shared" ref="F592:G592" si="588">E592*1.1</f>
        <v>1034000.0000000001</v>
      </c>
      <c r="G592" s="319">
        <f t="shared" si="588"/>
        <v>1137400.0000000002</v>
      </c>
      <c r="H592" s="132"/>
    </row>
    <row r="593" spans="1:8" s="290" customFormat="1" outlineLevel="2">
      <c r="A593" s="382"/>
      <c r="B593" s="382"/>
      <c r="C593" s="389">
        <v>2211320</v>
      </c>
      <c r="D593" s="340" t="s">
        <v>59</v>
      </c>
      <c r="E593" s="390">
        <v>460000</v>
      </c>
      <c r="F593" s="319">
        <f t="shared" ref="F593:G593" si="589">E593*1.1</f>
        <v>506000.00000000006</v>
      </c>
      <c r="G593" s="319">
        <f t="shared" si="589"/>
        <v>556600.00000000012</v>
      </c>
      <c r="H593" s="132"/>
    </row>
    <row r="594" spans="1:8" s="290" customFormat="1" outlineLevel="2">
      <c r="A594" s="382"/>
      <c r="B594" s="382"/>
      <c r="C594" s="389">
        <v>2211399</v>
      </c>
      <c r="D594" s="340" t="s">
        <v>60</v>
      </c>
      <c r="E594" s="390">
        <v>480000</v>
      </c>
      <c r="F594" s="319">
        <f t="shared" ref="F594:G594" si="590">E594*1.1</f>
        <v>528000</v>
      </c>
      <c r="G594" s="319">
        <f t="shared" si="590"/>
        <v>580800</v>
      </c>
      <c r="H594" s="132"/>
    </row>
    <row r="595" spans="1:8" s="290" customFormat="1" ht="30" outlineLevel="2">
      <c r="A595" s="382"/>
      <c r="B595" s="382"/>
      <c r="C595" s="386">
        <v>2220100</v>
      </c>
      <c r="D595" s="387" t="s">
        <v>61</v>
      </c>
      <c r="E595" s="388">
        <f>SUM(E596:E597)</f>
        <v>530000</v>
      </c>
      <c r="F595" s="319">
        <f t="shared" ref="F595:G595" si="591">E595*1.1</f>
        <v>583000</v>
      </c>
      <c r="G595" s="319">
        <f t="shared" si="591"/>
        <v>641300</v>
      </c>
      <c r="H595" s="132"/>
    </row>
    <row r="596" spans="1:8" s="290" customFormat="1" outlineLevel="2">
      <c r="A596" s="382"/>
      <c r="B596" s="382"/>
      <c r="C596" s="389">
        <v>2220101</v>
      </c>
      <c r="D596" s="340" t="s">
        <v>62</v>
      </c>
      <c r="E596" s="390">
        <v>320000</v>
      </c>
      <c r="F596" s="319">
        <f t="shared" ref="F596:G596" si="592">E596*1.1</f>
        <v>352000</v>
      </c>
      <c r="G596" s="319">
        <f t="shared" si="592"/>
        <v>387200.00000000006</v>
      </c>
      <c r="H596" s="132"/>
    </row>
    <row r="597" spans="1:8" s="290" customFormat="1" outlineLevel="2">
      <c r="A597" s="382"/>
      <c r="B597" s="382"/>
      <c r="C597" s="389">
        <v>2220105</v>
      </c>
      <c r="D597" s="340" t="s">
        <v>64</v>
      </c>
      <c r="E597" s="390">
        <v>210000</v>
      </c>
      <c r="F597" s="319">
        <f t="shared" ref="F597:G597" si="593">E597*1.1</f>
        <v>231000.00000000003</v>
      </c>
      <c r="G597" s="319">
        <f t="shared" si="593"/>
        <v>254100.00000000006</v>
      </c>
      <c r="H597" s="132"/>
    </row>
    <row r="598" spans="1:8" s="290" customFormat="1" outlineLevel="2">
      <c r="A598" s="382"/>
      <c r="B598" s="382"/>
      <c r="C598" s="386">
        <v>3110900</v>
      </c>
      <c r="D598" s="387" t="s">
        <v>134</v>
      </c>
      <c r="E598" s="388">
        <f>SUM(E599:E599)</f>
        <v>45000</v>
      </c>
      <c r="F598" s="319">
        <f t="shared" ref="F598:G598" si="594">E598*1.1</f>
        <v>49500.000000000007</v>
      </c>
      <c r="G598" s="319">
        <f t="shared" si="594"/>
        <v>54450.000000000015</v>
      </c>
      <c r="H598" s="132"/>
    </row>
    <row r="599" spans="1:8" s="290" customFormat="1" outlineLevel="2">
      <c r="A599" s="382"/>
      <c r="B599" s="382"/>
      <c r="C599" s="389">
        <v>3111003</v>
      </c>
      <c r="D599" s="340" t="s">
        <v>135</v>
      </c>
      <c r="E599" s="390">
        <v>45000</v>
      </c>
      <c r="F599" s="319">
        <f t="shared" ref="F599:G599" si="595">E599*1.1</f>
        <v>49500.000000000007</v>
      </c>
      <c r="G599" s="319">
        <f t="shared" si="595"/>
        <v>54450.000000000015</v>
      </c>
      <c r="H599" s="132"/>
    </row>
    <row r="600" spans="1:8" s="290" customFormat="1" outlineLevel="2">
      <c r="A600" s="382"/>
      <c r="B600" s="382"/>
      <c r="C600" s="386">
        <v>3111000</v>
      </c>
      <c r="D600" s="387" t="s">
        <v>65</v>
      </c>
      <c r="E600" s="388">
        <f>E601+E602</f>
        <v>1600000</v>
      </c>
      <c r="F600" s="319">
        <f t="shared" ref="F600:G600" si="596">E600*1.1</f>
        <v>1760000.0000000002</v>
      </c>
      <c r="G600" s="319">
        <f t="shared" si="596"/>
        <v>1936000.0000000005</v>
      </c>
      <c r="H600" s="132"/>
    </row>
    <row r="601" spans="1:8" s="290" customFormat="1" outlineLevel="2">
      <c r="A601" s="382"/>
      <c r="B601" s="382"/>
      <c r="C601" s="389">
        <v>3111001</v>
      </c>
      <c r="D601" s="340" t="s">
        <v>66</v>
      </c>
      <c r="E601" s="390">
        <v>720000</v>
      </c>
      <c r="F601" s="319">
        <f t="shared" ref="F601:G601" si="597">E601*1.1</f>
        <v>792000.00000000012</v>
      </c>
      <c r="G601" s="319">
        <f t="shared" si="597"/>
        <v>871200.00000000023</v>
      </c>
      <c r="H601" s="132"/>
    </row>
    <row r="602" spans="1:8" s="290" customFormat="1" outlineLevel="2">
      <c r="A602" s="382"/>
      <c r="B602" s="382"/>
      <c r="C602" s="389">
        <v>3111002</v>
      </c>
      <c r="D602" s="340" t="s">
        <v>67</v>
      </c>
      <c r="E602" s="390">
        <v>880000</v>
      </c>
      <c r="F602" s="319">
        <f t="shared" ref="F602:G602" si="598">E602*1.1</f>
        <v>968000.00000000012</v>
      </c>
      <c r="G602" s="319">
        <f t="shared" si="598"/>
        <v>1064800.0000000002</v>
      </c>
      <c r="H602" s="132"/>
    </row>
    <row r="603" spans="1:8" s="290" customFormat="1" outlineLevel="1">
      <c r="A603" s="382"/>
      <c r="B603" s="382"/>
      <c r="C603" s="391"/>
      <c r="D603" s="392" t="s">
        <v>70</v>
      </c>
      <c r="E603" s="393">
        <f>E600+E598+E595+E592+E590+E585+E582+E575+E570+E566+E561+E557+E554</f>
        <v>11152000</v>
      </c>
      <c r="F603" s="319">
        <f t="shared" ref="F603:G603" si="599">E603*1.1</f>
        <v>12267200.000000002</v>
      </c>
      <c r="G603" s="319">
        <f t="shared" si="599"/>
        <v>13493920.000000004</v>
      </c>
      <c r="H603" s="132"/>
    </row>
    <row r="604" spans="1:8" s="290" customFormat="1" outlineLevel="1">
      <c r="A604" s="382"/>
      <c r="B604" s="382"/>
      <c r="C604" s="385"/>
      <c r="D604" s="385"/>
      <c r="E604" s="382"/>
      <c r="F604" s="319">
        <f t="shared" ref="F604:G604" si="600">E604*1.1</f>
        <v>0</v>
      </c>
      <c r="G604" s="319">
        <f t="shared" si="600"/>
        <v>0</v>
      </c>
      <c r="H604" s="132"/>
    </row>
    <row r="605" spans="1:8" s="290" customFormat="1" outlineLevel="1">
      <c r="A605" s="382"/>
      <c r="B605" s="382"/>
      <c r="C605" s="385"/>
      <c r="D605" s="385"/>
      <c r="E605" s="382"/>
      <c r="F605" s="319">
        <f t="shared" ref="F605:G605" si="601">E605*1.1</f>
        <v>0</v>
      </c>
      <c r="G605" s="319">
        <f t="shared" si="601"/>
        <v>0</v>
      </c>
      <c r="H605" s="132"/>
    </row>
    <row r="606" spans="1:8" s="290" customFormat="1" outlineLevel="1">
      <c r="A606" s="382"/>
      <c r="B606" s="382"/>
      <c r="C606" s="394" t="s">
        <v>145</v>
      </c>
      <c r="D606" s="395"/>
      <c r="E606" s="397"/>
      <c r="F606" s="319">
        <f t="shared" ref="F606:G606" si="602">E606*1.1</f>
        <v>0</v>
      </c>
      <c r="G606" s="319">
        <f t="shared" si="602"/>
        <v>0</v>
      </c>
      <c r="H606" s="132"/>
    </row>
    <row r="607" spans="1:8" s="290" customFormat="1" outlineLevel="2">
      <c r="A607" s="382"/>
      <c r="B607" s="382"/>
      <c r="C607" s="386">
        <v>2210100</v>
      </c>
      <c r="D607" s="387" t="s">
        <v>16</v>
      </c>
      <c r="E607" s="388">
        <f>E608+E609</f>
        <v>116000</v>
      </c>
      <c r="F607" s="319">
        <f t="shared" ref="F607:G607" si="603">E607*1.1</f>
        <v>127600.00000000001</v>
      </c>
      <c r="G607" s="319">
        <f t="shared" si="603"/>
        <v>140360.00000000003</v>
      </c>
      <c r="H607" s="132"/>
    </row>
    <row r="608" spans="1:8" s="290" customFormat="1" outlineLevel="2">
      <c r="A608" s="382"/>
      <c r="B608" s="382"/>
      <c r="C608" s="389">
        <v>2210101</v>
      </c>
      <c r="D608" s="340" t="s">
        <v>17</v>
      </c>
      <c r="E608" s="390">
        <v>58000</v>
      </c>
      <c r="F608" s="319">
        <f t="shared" ref="F608:G608" si="604">E608*1.1</f>
        <v>63800.000000000007</v>
      </c>
      <c r="G608" s="319">
        <f t="shared" si="604"/>
        <v>70180.000000000015</v>
      </c>
      <c r="H608" s="132"/>
    </row>
    <row r="609" spans="1:8" s="290" customFormat="1" outlineLevel="2">
      <c r="A609" s="382"/>
      <c r="B609" s="382"/>
      <c r="C609" s="389">
        <v>2210102</v>
      </c>
      <c r="D609" s="340" t="s">
        <v>18</v>
      </c>
      <c r="E609" s="390">
        <v>58000</v>
      </c>
      <c r="F609" s="319">
        <f t="shared" ref="F609:G609" si="605">E609*1.1</f>
        <v>63800.000000000007</v>
      </c>
      <c r="G609" s="319">
        <f t="shared" si="605"/>
        <v>70180.000000000015</v>
      </c>
      <c r="H609" s="132"/>
    </row>
    <row r="610" spans="1:8" s="290" customFormat="1" outlineLevel="2">
      <c r="A610" s="382"/>
      <c r="B610" s="382"/>
      <c r="C610" s="386">
        <v>2210200</v>
      </c>
      <c r="D610" s="387" t="s">
        <v>19</v>
      </c>
      <c r="E610" s="388">
        <f>E611+E612+E613</f>
        <v>396000</v>
      </c>
      <c r="F610" s="319">
        <f t="shared" ref="F610:G610" si="606">E610*1.1</f>
        <v>435600.00000000006</v>
      </c>
      <c r="G610" s="319">
        <f t="shared" si="606"/>
        <v>479160.00000000012</v>
      </c>
      <c r="H610" s="132"/>
    </row>
    <row r="611" spans="1:8" s="290" customFormat="1" outlineLevel="2">
      <c r="A611" s="382"/>
      <c r="B611" s="382"/>
      <c r="C611" s="389">
        <v>2210201</v>
      </c>
      <c r="D611" s="340" t="s">
        <v>20</v>
      </c>
      <c r="E611" s="390">
        <v>280000</v>
      </c>
      <c r="F611" s="319">
        <f t="shared" ref="F611:G611" si="607">E611*1.1</f>
        <v>308000</v>
      </c>
      <c r="G611" s="319">
        <f t="shared" si="607"/>
        <v>338800</v>
      </c>
      <c r="H611" s="132"/>
    </row>
    <row r="612" spans="1:8" s="290" customFormat="1" outlineLevel="2">
      <c r="A612" s="382"/>
      <c r="B612" s="382"/>
      <c r="C612" s="389">
        <v>2210202</v>
      </c>
      <c r="D612" s="340" t="s">
        <v>21</v>
      </c>
      <c r="E612" s="390">
        <v>58000</v>
      </c>
      <c r="F612" s="319">
        <f t="shared" ref="F612:G612" si="608">E612*1.1</f>
        <v>63800.000000000007</v>
      </c>
      <c r="G612" s="319">
        <f t="shared" si="608"/>
        <v>70180.000000000015</v>
      </c>
      <c r="H612" s="132"/>
    </row>
    <row r="613" spans="1:8" s="290" customFormat="1" outlineLevel="2">
      <c r="A613" s="382"/>
      <c r="B613" s="382"/>
      <c r="C613" s="389">
        <v>2210203</v>
      </c>
      <c r="D613" s="340" t="s">
        <v>22</v>
      </c>
      <c r="E613" s="390">
        <v>58000</v>
      </c>
      <c r="F613" s="319">
        <f t="shared" ref="F613:G613" si="609">E613*1.1</f>
        <v>63800.000000000007</v>
      </c>
      <c r="G613" s="319">
        <f t="shared" si="609"/>
        <v>70180.000000000015</v>
      </c>
      <c r="H613" s="132"/>
    </row>
    <row r="614" spans="1:8" s="290" customFormat="1" ht="30" outlineLevel="2">
      <c r="A614" s="382"/>
      <c r="B614" s="382"/>
      <c r="C614" s="386">
        <v>2210300</v>
      </c>
      <c r="D614" s="387" t="s">
        <v>23</v>
      </c>
      <c r="E614" s="388">
        <f>SUM(E615:E618)</f>
        <v>3980000</v>
      </c>
      <c r="F614" s="319">
        <f t="shared" ref="F614:G614" si="610">E614*1.1</f>
        <v>4378000</v>
      </c>
      <c r="G614" s="319">
        <f t="shared" si="610"/>
        <v>4815800</v>
      </c>
      <c r="H614" s="132"/>
    </row>
    <row r="615" spans="1:8" s="290" customFormat="1" outlineLevel="2">
      <c r="A615" s="382"/>
      <c r="B615" s="382"/>
      <c r="C615" s="389">
        <v>2210301</v>
      </c>
      <c r="D615" s="340" t="s">
        <v>24</v>
      </c>
      <c r="E615" s="390">
        <v>1520000</v>
      </c>
      <c r="F615" s="319">
        <f t="shared" ref="F615:G615" si="611">E615*1.1</f>
        <v>1672000.0000000002</v>
      </c>
      <c r="G615" s="319">
        <f t="shared" si="611"/>
        <v>1839200.0000000005</v>
      </c>
      <c r="H615" s="132"/>
    </row>
    <row r="616" spans="1:8" s="290" customFormat="1" outlineLevel="2">
      <c r="A616" s="382"/>
      <c r="B616" s="382"/>
      <c r="C616" s="389">
        <v>2210302</v>
      </c>
      <c r="D616" s="340" t="s">
        <v>25</v>
      </c>
      <c r="E616" s="390">
        <v>1800000</v>
      </c>
      <c r="F616" s="319">
        <f t="shared" ref="F616:G616" si="612">E616*1.1</f>
        <v>1980000.0000000002</v>
      </c>
      <c r="G616" s="319">
        <f t="shared" si="612"/>
        <v>2178000.0000000005</v>
      </c>
      <c r="H616" s="132"/>
    </row>
    <row r="617" spans="1:8" s="290" customFormat="1" outlineLevel="2">
      <c r="A617" s="382"/>
      <c r="B617" s="382"/>
      <c r="C617" s="389">
        <v>2210303</v>
      </c>
      <c r="D617" s="340" t="s">
        <v>26</v>
      </c>
      <c r="E617" s="390">
        <v>580000</v>
      </c>
      <c r="F617" s="319">
        <f t="shared" ref="F617:G617" si="613">E617*1.1</f>
        <v>638000</v>
      </c>
      <c r="G617" s="319">
        <f t="shared" si="613"/>
        <v>701800</v>
      </c>
      <c r="H617" s="132"/>
    </row>
    <row r="618" spans="1:8" s="290" customFormat="1" outlineLevel="2">
      <c r="A618" s="382"/>
      <c r="B618" s="382"/>
      <c r="C618" s="389">
        <v>2210304</v>
      </c>
      <c r="D618" s="340" t="s">
        <v>27</v>
      </c>
      <c r="E618" s="390">
        <v>80000</v>
      </c>
      <c r="F618" s="319">
        <f t="shared" ref="F618:G618" si="614">E618*1.1</f>
        <v>88000</v>
      </c>
      <c r="G618" s="319">
        <f t="shared" si="614"/>
        <v>96800.000000000015</v>
      </c>
      <c r="H618" s="132"/>
    </row>
    <row r="619" spans="1:8" s="290" customFormat="1" outlineLevel="2">
      <c r="A619" s="382"/>
      <c r="B619" s="382"/>
      <c r="C619" s="386">
        <v>2210400</v>
      </c>
      <c r="D619" s="387" t="s">
        <v>28</v>
      </c>
      <c r="E619" s="388">
        <f>SUM(E620:E622)</f>
        <v>594000</v>
      </c>
      <c r="F619" s="319">
        <f t="shared" ref="F619:G619" si="615">E619*1.1</f>
        <v>653400</v>
      </c>
      <c r="G619" s="319">
        <f t="shared" si="615"/>
        <v>718740</v>
      </c>
      <c r="H619" s="132"/>
    </row>
    <row r="620" spans="1:8" s="290" customFormat="1" outlineLevel="2">
      <c r="A620" s="382"/>
      <c r="B620" s="382"/>
      <c r="C620" s="389">
        <v>2210401</v>
      </c>
      <c r="D620" s="340" t="s">
        <v>24</v>
      </c>
      <c r="E620" s="390">
        <v>320000</v>
      </c>
      <c r="F620" s="319">
        <f t="shared" ref="F620:G620" si="616">E620*1.1</f>
        <v>352000</v>
      </c>
      <c r="G620" s="319">
        <f t="shared" si="616"/>
        <v>387200.00000000006</v>
      </c>
      <c r="H620" s="132"/>
    </row>
    <row r="621" spans="1:8" s="290" customFormat="1" outlineLevel="2">
      <c r="A621" s="382"/>
      <c r="B621" s="382"/>
      <c r="C621" s="389">
        <v>2210402</v>
      </c>
      <c r="D621" s="340" t="s">
        <v>29</v>
      </c>
      <c r="E621" s="390">
        <v>216000</v>
      </c>
      <c r="F621" s="319">
        <f t="shared" ref="F621:G621" si="617">E621*1.1</f>
        <v>237600.00000000003</v>
      </c>
      <c r="G621" s="319">
        <f t="shared" si="617"/>
        <v>261360.00000000006</v>
      </c>
      <c r="H621" s="132"/>
    </row>
    <row r="622" spans="1:8" s="290" customFormat="1" outlineLevel="2">
      <c r="A622" s="382"/>
      <c r="B622" s="382"/>
      <c r="C622" s="389">
        <v>2210404</v>
      </c>
      <c r="D622" s="340" t="s">
        <v>27</v>
      </c>
      <c r="E622" s="390">
        <v>58000</v>
      </c>
      <c r="F622" s="319">
        <f t="shared" ref="F622:G622" si="618">E622*1.1</f>
        <v>63800.000000000007</v>
      </c>
      <c r="G622" s="319">
        <f t="shared" si="618"/>
        <v>70180.000000000015</v>
      </c>
      <c r="H622" s="132"/>
    </row>
    <row r="623" spans="1:8" s="290" customFormat="1" outlineLevel="2">
      <c r="A623" s="382"/>
      <c r="B623" s="382"/>
      <c r="C623" s="386">
        <v>2210500</v>
      </c>
      <c r="D623" s="387" t="s">
        <v>30</v>
      </c>
      <c r="E623" s="388">
        <f>SUM(E624:E627)</f>
        <v>1480000</v>
      </c>
      <c r="F623" s="319">
        <f t="shared" ref="F623:G623" si="619">E623*1.1</f>
        <v>1628000.0000000002</v>
      </c>
      <c r="G623" s="319">
        <f t="shared" si="619"/>
        <v>1790800.0000000005</v>
      </c>
      <c r="H623" s="132"/>
    </row>
    <row r="624" spans="1:8" s="290" customFormat="1" outlineLevel="2">
      <c r="A624" s="382"/>
      <c r="B624" s="382"/>
      <c r="C624" s="389">
        <v>2210503</v>
      </c>
      <c r="D624" s="340" t="s">
        <v>31</v>
      </c>
      <c r="E624" s="390">
        <v>480000</v>
      </c>
      <c r="F624" s="319">
        <f t="shared" ref="F624:G624" si="620">E624*1.1</f>
        <v>528000</v>
      </c>
      <c r="G624" s="319">
        <f t="shared" si="620"/>
        <v>580800</v>
      </c>
      <c r="H624" s="132"/>
    </row>
    <row r="625" spans="1:8" s="290" customFormat="1" outlineLevel="2">
      <c r="A625" s="382"/>
      <c r="B625" s="382"/>
      <c r="C625" s="389">
        <v>2210504</v>
      </c>
      <c r="D625" s="340" t="s">
        <v>32</v>
      </c>
      <c r="E625" s="390">
        <v>340000</v>
      </c>
      <c r="F625" s="319">
        <f t="shared" ref="F625:G625" si="621">E625*1.1</f>
        <v>374000.00000000006</v>
      </c>
      <c r="G625" s="319">
        <f t="shared" si="621"/>
        <v>411400.00000000012</v>
      </c>
      <c r="H625" s="132"/>
    </row>
    <row r="626" spans="1:8" s="290" customFormat="1" outlineLevel="2">
      <c r="A626" s="382"/>
      <c r="B626" s="382"/>
      <c r="C626" s="389" t="s">
        <v>128</v>
      </c>
      <c r="D626" s="340" t="s">
        <v>129</v>
      </c>
      <c r="E626" s="390">
        <f>180000</f>
        <v>180000</v>
      </c>
      <c r="F626" s="319">
        <f t="shared" ref="F626:G626" si="622">E626*1.1</f>
        <v>198000.00000000003</v>
      </c>
      <c r="G626" s="319">
        <f t="shared" si="622"/>
        <v>217800.00000000006</v>
      </c>
      <c r="H626" s="132"/>
    </row>
    <row r="627" spans="1:8" s="290" customFormat="1" outlineLevel="2">
      <c r="A627" s="382"/>
      <c r="B627" s="382"/>
      <c r="C627" s="389">
        <v>2210599</v>
      </c>
      <c r="D627" s="340" t="s">
        <v>33</v>
      </c>
      <c r="E627" s="390">
        <v>480000</v>
      </c>
      <c r="F627" s="319">
        <f t="shared" ref="F627:G627" si="623">E627*1.1</f>
        <v>528000</v>
      </c>
      <c r="G627" s="319">
        <f t="shared" si="623"/>
        <v>580800</v>
      </c>
      <c r="H627" s="132"/>
    </row>
    <row r="628" spans="1:8" s="290" customFormat="1" outlineLevel="2">
      <c r="A628" s="382"/>
      <c r="B628" s="382"/>
      <c r="C628" s="386">
        <v>2210700</v>
      </c>
      <c r="D628" s="387" t="s">
        <v>34</v>
      </c>
      <c r="E628" s="388">
        <f>SUM(E629:E634)</f>
        <v>1715000</v>
      </c>
      <c r="F628" s="319">
        <f t="shared" ref="F628:G628" si="624">E628*1.1</f>
        <v>1886500.0000000002</v>
      </c>
      <c r="G628" s="319">
        <f t="shared" si="624"/>
        <v>2075150.0000000005</v>
      </c>
      <c r="H628" s="132"/>
    </row>
    <row r="629" spans="1:8" s="290" customFormat="1" outlineLevel="2">
      <c r="A629" s="382"/>
      <c r="B629" s="382"/>
      <c r="C629" s="389">
        <v>2210701</v>
      </c>
      <c r="D629" s="340" t="s">
        <v>35</v>
      </c>
      <c r="E629" s="390">
        <v>945000</v>
      </c>
      <c r="F629" s="319">
        <f t="shared" ref="F629:G629" si="625">E629*1.1</f>
        <v>1039500.0000000001</v>
      </c>
      <c r="G629" s="319">
        <f t="shared" si="625"/>
        <v>1143450.0000000002</v>
      </c>
      <c r="H629" s="132"/>
    </row>
    <row r="630" spans="1:8" s="290" customFormat="1" outlineLevel="2">
      <c r="A630" s="382"/>
      <c r="B630" s="382"/>
      <c r="C630" s="389">
        <v>2210702</v>
      </c>
      <c r="D630" s="340" t="s">
        <v>36</v>
      </c>
      <c r="E630" s="390">
        <v>70000</v>
      </c>
      <c r="F630" s="319">
        <f t="shared" ref="F630:G630" si="626">E630*1.1</f>
        <v>77000</v>
      </c>
      <c r="G630" s="319">
        <f t="shared" si="626"/>
        <v>84700</v>
      </c>
      <c r="H630" s="132"/>
    </row>
    <row r="631" spans="1:8" s="290" customFormat="1" outlineLevel="2">
      <c r="A631" s="382"/>
      <c r="B631" s="382"/>
      <c r="C631" s="389">
        <v>2210704</v>
      </c>
      <c r="D631" s="340" t="s">
        <v>37</v>
      </c>
      <c r="E631" s="390">
        <v>80000</v>
      </c>
      <c r="F631" s="319">
        <f t="shared" ref="F631:G631" si="627">E631*1.1</f>
        <v>88000</v>
      </c>
      <c r="G631" s="319">
        <f t="shared" si="627"/>
        <v>96800.000000000015</v>
      </c>
      <c r="H631" s="132"/>
    </row>
    <row r="632" spans="1:8" s="290" customFormat="1" outlineLevel="2">
      <c r="A632" s="382"/>
      <c r="B632" s="382"/>
      <c r="C632" s="389">
        <v>2210710</v>
      </c>
      <c r="D632" s="340" t="s">
        <v>38</v>
      </c>
      <c r="E632" s="390">
        <v>220000</v>
      </c>
      <c r="F632" s="319">
        <f t="shared" ref="F632:G632" si="628">E632*1.1</f>
        <v>242000.00000000003</v>
      </c>
      <c r="G632" s="319">
        <f t="shared" si="628"/>
        <v>266200.00000000006</v>
      </c>
      <c r="H632" s="132"/>
    </row>
    <row r="633" spans="1:8" s="290" customFormat="1" outlineLevel="2">
      <c r="A633" s="382"/>
      <c r="B633" s="382"/>
      <c r="C633" s="389">
        <v>2210715</v>
      </c>
      <c r="D633" s="340" t="s">
        <v>39</v>
      </c>
      <c r="E633" s="390">
        <v>320000</v>
      </c>
      <c r="F633" s="319">
        <f t="shared" ref="F633:G633" si="629">E633*1.1</f>
        <v>352000</v>
      </c>
      <c r="G633" s="319">
        <f t="shared" si="629"/>
        <v>387200.00000000006</v>
      </c>
      <c r="H633" s="132"/>
    </row>
    <row r="634" spans="1:8" s="290" customFormat="1" outlineLevel="2">
      <c r="A634" s="382"/>
      <c r="B634" s="382"/>
      <c r="C634" s="389">
        <v>2210799</v>
      </c>
      <c r="D634" s="340" t="s">
        <v>40</v>
      </c>
      <c r="E634" s="390">
        <v>80000</v>
      </c>
      <c r="F634" s="319">
        <f t="shared" ref="F634:G634" si="630">E634*1.1</f>
        <v>88000</v>
      </c>
      <c r="G634" s="319">
        <f t="shared" si="630"/>
        <v>96800.000000000015</v>
      </c>
      <c r="H634" s="132"/>
    </row>
    <row r="635" spans="1:8" s="290" customFormat="1" outlineLevel="2">
      <c r="A635" s="382"/>
      <c r="B635" s="382"/>
      <c r="C635" s="386">
        <v>2210800</v>
      </c>
      <c r="D635" s="387" t="s">
        <v>41</v>
      </c>
      <c r="E635" s="388">
        <f>SUM(E636:E637)</f>
        <v>1320000</v>
      </c>
      <c r="F635" s="319">
        <f t="shared" ref="F635:G635" si="631">E635*1.1</f>
        <v>1452000.0000000002</v>
      </c>
      <c r="G635" s="319">
        <f t="shared" si="631"/>
        <v>1597200.0000000005</v>
      </c>
      <c r="H635" s="132"/>
    </row>
    <row r="636" spans="1:8" s="290" customFormat="1" ht="30" outlineLevel="2">
      <c r="A636" s="382"/>
      <c r="B636" s="382"/>
      <c r="C636" s="389">
        <v>2210801</v>
      </c>
      <c r="D636" s="340" t="s">
        <v>42</v>
      </c>
      <c r="E636" s="390">
        <v>740000</v>
      </c>
      <c r="F636" s="319">
        <f t="shared" ref="F636:G636" si="632">E636*1.1</f>
        <v>814000.00000000012</v>
      </c>
      <c r="G636" s="319">
        <f t="shared" si="632"/>
        <v>895400.00000000023</v>
      </c>
      <c r="H636" s="132"/>
    </row>
    <row r="637" spans="1:8" s="290" customFormat="1" outlineLevel="2">
      <c r="A637" s="382"/>
      <c r="B637" s="382"/>
      <c r="C637" s="389">
        <v>2210802</v>
      </c>
      <c r="D637" s="340" t="s">
        <v>43</v>
      </c>
      <c r="E637" s="390">
        <v>580000</v>
      </c>
      <c r="F637" s="319">
        <f t="shared" ref="F637:G637" si="633">E637*1.1</f>
        <v>638000</v>
      </c>
      <c r="G637" s="319">
        <f t="shared" si="633"/>
        <v>701800</v>
      </c>
      <c r="H637" s="132"/>
    </row>
    <row r="638" spans="1:8" s="290" customFormat="1" outlineLevel="2">
      <c r="A638" s="382"/>
      <c r="B638" s="382"/>
      <c r="C638" s="386">
        <v>2211100</v>
      </c>
      <c r="D638" s="387" t="s">
        <v>49</v>
      </c>
      <c r="E638" s="388">
        <f>SUM(E639:E642)</f>
        <v>906000</v>
      </c>
      <c r="F638" s="319">
        <f t="shared" ref="F638:G638" si="634">E638*1.1</f>
        <v>996600.00000000012</v>
      </c>
      <c r="G638" s="319">
        <f t="shared" si="634"/>
        <v>1096260.0000000002</v>
      </c>
      <c r="H638" s="132"/>
    </row>
    <row r="639" spans="1:8" s="290" customFormat="1" ht="30" outlineLevel="2">
      <c r="A639" s="382"/>
      <c r="B639" s="382"/>
      <c r="C639" s="389">
        <v>2211101</v>
      </c>
      <c r="D639" s="340" t="s">
        <v>50</v>
      </c>
      <c r="E639" s="390">
        <v>440000</v>
      </c>
      <c r="F639" s="319">
        <f t="shared" ref="F639:G639" si="635">E639*1.1</f>
        <v>484000.00000000006</v>
      </c>
      <c r="G639" s="319">
        <f t="shared" si="635"/>
        <v>532400.00000000012</v>
      </c>
      <c r="H639" s="132"/>
    </row>
    <row r="640" spans="1:8" s="290" customFormat="1" outlineLevel="2">
      <c r="A640" s="382"/>
      <c r="B640" s="382"/>
      <c r="C640" s="389">
        <v>2211102</v>
      </c>
      <c r="D640" s="340" t="s">
        <v>51</v>
      </c>
      <c r="E640" s="390">
        <f>220000-14000</f>
        <v>206000</v>
      </c>
      <c r="F640" s="319">
        <f t="shared" ref="F640:G640" si="636">E640*1.1</f>
        <v>226600.00000000003</v>
      </c>
      <c r="G640" s="319">
        <f t="shared" si="636"/>
        <v>249260.00000000006</v>
      </c>
      <c r="H640" s="132"/>
    </row>
    <row r="641" spans="1:8" s="290" customFormat="1" outlineLevel="2">
      <c r="A641" s="382"/>
      <c r="B641" s="382"/>
      <c r="C641" s="389">
        <v>2211103</v>
      </c>
      <c r="D641" s="340" t="s">
        <v>52</v>
      </c>
      <c r="E641" s="390">
        <v>80000</v>
      </c>
      <c r="F641" s="319">
        <f t="shared" ref="F641:G641" si="637">E641*1.1</f>
        <v>88000</v>
      </c>
      <c r="G641" s="319">
        <f t="shared" si="637"/>
        <v>96800.000000000015</v>
      </c>
      <c r="H641" s="132"/>
    </row>
    <row r="642" spans="1:8" s="290" customFormat="1" outlineLevel="2">
      <c r="A642" s="382"/>
      <c r="B642" s="382"/>
      <c r="C642" s="389" t="s">
        <v>131</v>
      </c>
      <c r="D642" s="340" t="s">
        <v>132</v>
      </c>
      <c r="E642" s="390">
        <v>180000</v>
      </c>
      <c r="F642" s="319">
        <f t="shared" ref="F642:G642" si="638">E642*1.1</f>
        <v>198000.00000000003</v>
      </c>
      <c r="G642" s="319">
        <f t="shared" si="638"/>
        <v>217800.00000000006</v>
      </c>
      <c r="H642" s="132"/>
    </row>
    <row r="643" spans="1:8" s="290" customFormat="1" outlineLevel="2">
      <c r="A643" s="382"/>
      <c r="B643" s="382"/>
      <c r="C643" s="386">
        <v>2211200</v>
      </c>
      <c r="D643" s="387" t="s">
        <v>53</v>
      </c>
      <c r="E643" s="388">
        <f>SUM(E644)</f>
        <v>630000</v>
      </c>
      <c r="F643" s="319">
        <f t="shared" ref="F643:G643" si="639">E643*1.1</f>
        <v>693000</v>
      </c>
      <c r="G643" s="319">
        <f t="shared" si="639"/>
        <v>762300.00000000012</v>
      </c>
      <c r="H643" s="132"/>
    </row>
    <row r="644" spans="1:8" s="290" customFormat="1" outlineLevel="2">
      <c r="A644" s="382"/>
      <c r="B644" s="382"/>
      <c r="C644" s="389">
        <v>2211201</v>
      </c>
      <c r="D644" s="340" t="s">
        <v>91</v>
      </c>
      <c r="E644" s="390">
        <v>630000</v>
      </c>
      <c r="F644" s="319">
        <f t="shared" ref="F644:G644" si="640">E644*1.1</f>
        <v>693000</v>
      </c>
      <c r="G644" s="319">
        <f t="shared" si="640"/>
        <v>762300.00000000012</v>
      </c>
      <c r="H644" s="132"/>
    </row>
    <row r="645" spans="1:8" s="290" customFormat="1" outlineLevel="2">
      <c r="A645" s="382"/>
      <c r="B645" s="382"/>
      <c r="C645" s="386">
        <v>2211300</v>
      </c>
      <c r="D645" s="387" t="s">
        <v>55</v>
      </c>
      <c r="E645" s="388">
        <f>SUM(E646:E649)</f>
        <v>21524360</v>
      </c>
      <c r="F645" s="319">
        <f t="shared" ref="F645:G645" si="641">E645*1.1</f>
        <v>23676796.000000004</v>
      </c>
      <c r="G645" s="319">
        <f t="shared" si="641"/>
        <v>26044475.600000005</v>
      </c>
      <c r="H645" s="132"/>
    </row>
    <row r="646" spans="1:8" s="290" customFormat="1" outlineLevel="2">
      <c r="A646" s="382"/>
      <c r="B646" s="382"/>
      <c r="C646" s="389">
        <v>2211320</v>
      </c>
      <c r="D646" s="340" t="s">
        <v>59</v>
      </c>
      <c r="E646" s="390">
        <v>560000</v>
      </c>
      <c r="F646" s="319">
        <f t="shared" ref="F646:G646" si="642">E646*1.1</f>
        <v>616000</v>
      </c>
      <c r="G646" s="319">
        <f t="shared" si="642"/>
        <v>677600</v>
      </c>
      <c r="H646" s="132"/>
    </row>
    <row r="647" spans="1:8" s="290" customFormat="1" outlineLevel="2">
      <c r="A647" s="382"/>
      <c r="B647" s="382"/>
      <c r="C647" s="389">
        <v>2211399</v>
      </c>
      <c r="D647" s="340" t="s">
        <v>60</v>
      </c>
      <c r="E647" s="398">
        <v>724360</v>
      </c>
      <c r="F647" s="319">
        <f t="shared" ref="F647:G647" si="643">E647*1.1</f>
        <v>796796.00000000012</v>
      </c>
      <c r="G647" s="319">
        <f t="shared" si="643"/>
        <v>876475.60000000021</v>
      </c>
      <c r="H647" s="132"/>
    </row>
    <row r="648" spans="1:8" s="290" customFormat="1" ht="45" outlineLevel="2">
      <c r="A648" s="382"/>
      <c r="B648" s="382"/>
      <c r="C648" s="399">
        <v>2211308</v>
      </c>
      <c r="D648" s="400" t="s">
        <v>146</v>
      </c>
      <c r="E648" s="390">
        <v>20000000</v>
      </c>
      <c r="F648" s="319">
        <f t="shared" ref="F648:G648" si="644">E648*1.1</f>
        <v>22000000</v>
      </c>
      <c r="G648" s="319">
        <f t="shared" si="644"/>
        <v>24200000.000000004</v>
      </c>
      <c r="H648" s="132"/>
    </row>
    <row r="649" spans="1:8" s="290" customFormat="1" outlineLevel="2">
      <c r="A649" s="382"/>
      <c r="B649" s="382"/>
      <c r="C649" s="399" t="s">
        <v>147</v>
      </c>
      <c r="D649" s="400" t="s">
        <v>148</v>
      </c>
      <c r="E649" s="390">
        <v>240000</v>
      </c>
      <c r="F649" s="319">
        <f t="shared" ref="F649:G649" si="645">E649*1.1</f>
        <v>264000</v>
      </c>
      <c r="G649" s="319">
        <f t="shared" si="645"/>
        <v>290400</v>
      </c>
      <c r="H649" s="132"/>
    </row>
    <row r="650" spans="1:8" s="290" customFormat="1" ht="30" outlineLevel="2">
      <c r="A650" s="382"/>
      <c r="B650" s="382"/>
      <c r="C650" s="386">
        <v>2220100</v>
      </c>
      <c r="D650" s="387" t="s">
        <v>61</v>
      </c>
      <c r="E650" s="388">
        <f>SUM(E651:E652)</f>
        <v>556000</v>
      </c>
      <c r="F650" s="319">
        <f t="shared" ref="F650:G650" si="646">E650*1.1</f>
        <v>611600</v>
      </c>
      <c r="G650" s="319">
        <f t="shared" si="646"/>
        <v>672760</v>
      </c>
      <c r="H650" s="132"/>
    </row>
    <row r="651" spans="1:8" s="290" customFormat="1" outlineLevel="2">
      <c r="A651" s="382"/>
      <c r="B651" s="382"/>
      <c r="C651" s="389">
        <v>2220101</v>
      </c>
      <c r="D651" s="340" t="s">
        <v>62</v>
      </c>
      <c r="E651" s="390">
        <v>320000</v>
      </c>
      <c r="F651" s="319">
        <f t="shared" ref="F651:G651" si="647">E651*1.1</f>
        <v>352000</v>
      </c>
      <c r="G651" s="319">
        <f t="shared" si="647"/>
        <v>387200.00000000006</v>
      </c>
      <c r="H651" s="132"/>
    </row>
    <row r="652" spans="1:8" s="290" customFormat="1" outlineLevel="2">
      <c r="A652" s="382"/>
      <c r="B652" s="382"/>
      <c r="C652" s="389">
        <v>2220105</v>
      </c>
      <c r="D652" s="340" t="s">
        <v>64</v>
      </c>
      <c r="E652" s="390">
        <v>236000</v>
      </c>
      <c r="F652" s="319">
        <f t="shared" ref="F652:G652" si="648">E652*1.1</f>
        <v>259600.00000000003</v>
      </c>
      <c r="G652" s="319">
        <f t="shared" si="648"/>
        <v>285560.00000000006</v>
      </c>
      <c r="H652" s="132"/>
    </row>
    <row r="653" spans="1:8" s="290" customFormat="1" outlineLevel="2">
      <c r="A653" s="382"/>
      <c r="B653" s="382"/>
      <c r="C653" s="386">
        <v>3110900</v>
      </c>
      <c r="D653" s="387" t="s">
        <v>134</v>
      </c>
      <c r="E653" s="388">
        <f>SUM(E654:E654)</f>
        <v>45000</v>
      </c>
      <c r="F653" s="319">
        <f t="shared" ref="F653:G653" si="649">E653*1.1</f>
        <v>49500.000000000007</v>
      </c>
      <c r="G653" s="319">
        <f t="shared" si="649"/>
        <v>54450.000000000015</v>
      </c>
      <c r="H653" s="132"/>
    </row>
    <row r="654" spans="1:8" s="290" customFormat="1" outlineLevel="2">
      <c r="A654" s="382"/>
      <c r="B654" s="382"/>
      <c r="C654" s="389">
        <v>3111003</v>
      </c>
      <c r="D654" s="340" t="s">
        <v>135</v>
      </c>
      <c r="E654" s="390">
        <v>45000</v>
      </c>
      <c r="F654" s="319">
        <f t="shared" ref="F654:G654" si="650">E654*1.1</f>
        <v>49500.000000000007</v>
      </c>
      <c r="G654" s="319">
        <f t="shared" si="650"/>
        <v>54450.000000000015</v>
      </c>
      <c r="H654" s="132"/>
    </row>
    <row r="655" spans="1:8" s="290" customFormat="1" outlineLevel="2">
      <c r="A655" s="382"/>
      <c r="B655" s="382"/>
      <c r="C655" s="386">
        <v>3111000</v>
      </c>
      <c r="D655" s="387" t="s">
        <v>65</v>
      </c>
      <c r="E655" s="388">
        <f>E656+E657</f>
        <v>500000</v>
      </c>
      <c r="F655" s="319">
        <f t="shared" ref="F655:G655" si="651">E655*1.1</f>
        <v>550000</v>
      </c>
      <c r="G655" s="319">
        <f t="shared" si="651"/>
        <v>605000</v>
      </c>
      <c r="H655" s="132"/>
    </row>
    <row r="656" spans="1:8" s="290" customFormat="1" outlineLevel="2">
      <c r="A656" s="382"/>
      <c r="B656" s="382"/>
      <c r="C656" s="389">
        <v>3111001</v>
      </c>
      <c r="D656" s="340" t="s">
        <v>66</v>
      </c>
      <c r="E656" s="390">
        <v>180000</v>
      </c>
      <c r="F656" s="319">
        <f t="shared" ref="F656:G656" si="652">E656*1.1</f>
        <v>198000.00000000003</v>
      </c>
      <c r="G656" s="319">
        <f t="shared" si="652"/>
        <v>217800.00000000006</v>
      </c>
      <c r="H656" s="132"/>
    </row>
    <row r="657" spans="1:8" s="290" customFormat="1" outlineLevel="2">
      <c r="A657" s="382"/>
      <c r="B657" s="382"/>
      <c r="C657" s="389">
        <v>3111002</v>
      </c>
      <c r="D657" s="340" t="s">
        <v>67</v>
      </c>
      <c r="E657" s="390">
        <v>320000</v>
      </c>
      <c r="F657" s="319">
        <f t="shared" ref="F657:G657" si="653">E657*1.1</f>
        <v>352000</v>
      </c>
      <c r="G657" s="319">
        <f t="shared" si="653"/>
        <v>387200.00000000006</v>
      </c>
      <c r="H657" s="132"/>
    </row>
    <row r="658" spans="1:8" s="290" customFormat="1" outlineLevel="1">
      <c r="A658" s="382"/>
      <c r="B658" s="382"/>
      <c r="C658" s="391"/>
      <c r="D658" s="392" t="s">
        <v>70</v>
      </c>
      <c r="E658" s="393">
        <f>E655+E653+E650+E645+E643+E638+E635+E628+E623+E619+E614+E610+E607</f>
        <v>33762360</v>
      </c>
      <c r="F658" s="319">
        <f t="shared" ref="F658:G658" si="654">E658*1.1</f>
        <v>37138596</v>
      </c>
      <c r="G658" s="319">
        <f t="shared" si="654"/>
        <v>40852455.600000001</v>
      </c>
      <c r="H658" s="132"/>
    </row>
    <row r="659" spans="1:8" s="290" customFormat="1" outlineLevel="1">
      <c r="A659" s="382"/>
      <c r="B659" s="382"/>
      <c r="C659" s="385"/>
      <c r="D659" s="385"/>
      <c r="E659" s="382"/>
      <c r="F659" s="319">
        <f t="shared" ref="F659:G659" si="655">E659*1.1</f>
        <v>0</v>
      </c>
      <c r="G659" s="319">
        <f t="shared" si="655"/>
        <v>0</v>
      </c>
      <c r="H659" s="132"/>
    </row>
    <row r="660" spans="1:8" s="290" customFormat="1" outlineLevel="1">
      <c r="A660" s="382"/>
      <c r="B660" s="382"/>
      <c r="C660" s="394" t="s">
        <v>149</v>
      </c>
      <c r="D660" s="395"/>
      <c r="E660" s="397"/>
      <c r="F660" s="319">
        <f t="shared" ref="F660:G660" si="656">E660*1.1</f>
        <v>0</v>
      </c>
      <c r="G660" s="319">
        <f t="shared" si="656"/>
        <v>0</v>
      </c>
      <c r="H660" s="132"/>
    </row>
    <row r="661" spans="1:8" s="290" customFormat="1" outlineLevel="2">
      <c r="A661" s="382"/>
      <c r="B661" s="382"/>
      <c r="C661" s="386">
        <v>2210100</v>
      </c>
      <c r="D661" s="387" t="s">
        <v>16</v>
      </c>
      <c r="E661" s="388">
        <f>E662+E663</f>
        <v>116000</v>
      </c>
      <c r="F661" s="319">
        <f t="shared" ref="F661:G661" si="657">E661*1.1</f>
        <v>127600.00000000001</v>
      </c>
      <c r="G661" s="319">
        <f t="shared" si="657"/>
        <v>140360.00000000003</v>
      </c>
      <c r="H661" s="132"/>
    </row>
    <row r="662" spans="1:8" s="290" customFormat="1" outlineLevel="2">
      <c r="A662" s="382"/>
      <c r="B662" s="382"/>
      <c r="C662" s="389">
        <v>2210101</v>
      </c>
      <c r="D662" s="340" t="s">
        <v>17</v>
      </c>
      <c r="E662" s="390">
        <v>58000</v>
      </c>
      <c r="F662" s="319">
        <f t="shared" ref="F662:G662" si="658">E662*1.1</f>
        <v>63800.000000000007</v>
      </c>
      <c r="G662" s="319">
        <f t="shared" si="658"/>
        <v>70180.000000000015</v>
      </c>
      <c r="H662" s="132"/>
    </row>
    <row r="663" spans="1:8" s="290" customFormat="1" outlineLevel="2">
      <c r="A663" s="382"/>
      <c r="B663" s="382"/>
      <c r="C663" s="389">
        <v>2210102</v>
      </c>
      <c r="D663" s="340" t="s">
        <v>18</v>
      </c>
      <c r="E663" s="390">
        <v>58000</v>
      </c>
      <c r="F663" s="319">
        <f t="shared" ref="F663:G663" si="659">E663*1.1</f>
        <v>63800.000000000007</v>
      </c>
      <c r="G663" s="319">
        <f t="shared" si="659"/>
        <v>70180.000000000015</v>
      </c>
      <c r="H663" s="132"/>
    </row>
    <row r="664" spans="1:8" s="290" customFormat="1" outlineLevel="2">
      <c r="A664" s="382"/>
      <c r="B664" s="382"/>
      <c r="C664" s="386">
        <v>2210200</v>
      </c>
      <c r="D664" s="387" t="s">
        <v>19</v>
      </c>
      <c r="E664" s="388">
        <f>E665+E666+E667</f>
        <v>560000</v>
      </c>
      <c r="F664" s="319">
        <f t="shared" ref="F664:G664" si="660">E664*1.1</f>
        <v>616000</v>
      </c>
      <c r="G664" s="319">
        <f t="shared" si="660"/>
        <v>677600</v>
      </c>
      <c r="H664" s="132"/>
    </row>
    <row r="665" spans="1:8" s="290" customFormat="1" outlineLevel="2">
      <c r="A665" s="382"/>
      <c r="B665" s="382"/>
      <c r="C665" s="389">
        <v>2210201</v>
      </c>
      <c r="D665" s="340" t="s">
        <v>20</v>
      </c>
      <c r="E665" s="390">
        <v>420000</v>
      </c>
      <c r="F665" s="319">
        <f t="shared" ref="F665:G665" si="661">E665*1.1</f>
        <v>462000.00000000006</v>
      </c>
      <c r="G665" s="319">
        <f t="shared" si="661"/>
        <v>508200.00000000012</v>
      </c>
      <c r="H665" s="132"/>
    </row>
    <row r="666" spans="1:8" s="290" customFormat="1" outlineLevel="2">
      <c r="A666" s="382"/>
      <c r="B666" s="382"/>
      <c r="C666" s="389">
        <v>2210202</v>
      </c>
      <c r="D666" s="340" t="s">
        <v>21</v>
      </c>
      <c r="E666" s="390">
        <v>80000</v>
      </c>
      <c r="F666" s="319">
        <f t="shared" ref="F666:G666" si="662">E666*1.1</f>
        <v>88000</v>
      </c>
      <c r="G666" s="319">
        <f t="shared" si="662"/>
        <v>96800.000000000015</v>
      </c>
      <c r="H666" s="132"/>
    </row>
    <row r="667" spans="1:8" s="290" customFormat="1" outlineLevel="2">
      <c r="A667" s="382"/>
      <c r="B667" s="382"/>
      <c r="C667" s="389">
        <v>2210203</v>
      </c>
      <c r="D667" s="340" t="s">
        <v>22</v>
      </c>
      <c r="E667" s="390">
        <v>60000</v>
      </c>
      <c r="F667" s="319">
        <f t="shared" ref="F667:G667" si="663">E667*1.1</f>
        <v>66000</v>
      </c>
      <c r="G667" s="319">
        <f t="shared" si="663"/>
        <v>72600</v>
      </c>
      <c r="H667" s="132"/>
    </row>
    <row r="668" spans="1:8" s="290" customFormat="1" ht="30" outlineLevel="2">
      <c r="A668" s="382"/>
      <c r="B668" s="382"/>
      <c r="C668" s="386">
        <v>2210300</v>
      </c>
      <c r="D668" s="387" t="s">
        <v>23</v>
      </c>
      <c r="E668" s="388">
        <f>SUM(E669:E672)</f>
        <v>2080000</v>
      </c>
      <c r="F668" s="319">
        <f t="shared" ref="F668:G668" si="664">E668*1.1</f>
        <v>2288000</v>
      </c>
      <c r="G668" s="319">
        <f t="shared" si="664"/>
        <v>2516800</v>
      </c>
      <c r="H668" s="132"/>
    </row>
    <row r="669" spans="1:8" s="290" customFormat="1" outlineLevel="2">
      <c r="A669" s="382"/>
      <c r="B669" s="382"/>
      <c r="C669" s="389">
        <v>2210301</v>
      </c>
      <c r="D669" s="340" t="s">
        <v>24</v>
      </c>
      <c r="E669" s="390">
        <v>520000</v>
      </c>
      <c r="F669" s="319">
        <f t="shared" ref="F669:G669" si="665">E669*1.1</f>
        <v>572000</v>
      </c>
      <c r="G669" s="319">
        <f t="shared" si="665"/>
        <v>629200</v>
      </c>
      <c r="H669" s="132"/>
    </row>
    <row r="670" spans="1:8" s="290" customFormat="1" outlineLevel="2">
      <c r="A670" s="382"/>
      <c r="B670" s="382"/>
      <c r="C670" s="389">
        <v>2210302</v>
      </c>
      <c r="D670" s="340" t="s">
        <v>25</v>
      </c>
      <c r="E670" s="390">
        <v>880000</v>
      </c>
      <c r="F670" s="319">
        <f t="shared" ref="F670:G670" si="666">E670*1.1</f>
        <v>968000.00000000012</v>
      </c>
      <c r="G670" s="319">
        <f t="shared" si="666"/>
        <v>1064800.0000000002</v>
      </c>
      <c r="H670" s="132"/>
    </row>
    <row r="671" spans="1:8" s="290" customFormat="1" outlineLevel="2">
      <c r="A671" s="382"/>
      <c r="B671" s="382"/>
      <c r="C671" s="389">
        <v>2210303</v>
      </c>
      <c r="D671" s="340" t="s">
        <v>26</v>
      </c>
      <c r="E671" s="390">
        <v>600000</v>
      </c>
      <c r="F671" s="319">
        <f t="shared" ref="F671:G671" si="667">E671*1.1</f>
        <v>660000</v>
      </c>
      <c r="G671" s="319">
        <f t="shared" si="667"/>
        <v>726000.00000000012</v>
      </c>
      <c r="H671" s="132"/>
    </row>
    <row r="672" spans="1:8" s="290" customFormat="1" outlineLevel="2">
      <c r="A672" s="382"/>
      <c r="B672" s="382"/>
      <c r="C672" s="389">
        <v>2210304</v>
      </c>
      <c r="D672" s="340" t="s">
        <v>27</v>
      </c>
      <c r="E672" s="390">
        <v>80000</v>
      </c>
      <c r="F672" s="319">
        <f t="shared" ref="F672:G672" si="668">E672*1.1</f>
        <v>88000</v>
      </c>
      <c r="G672" s="319">
        <f t="shared" si="668"/>
        <v>96800.000000000015</v>
      </c>
      <c r="H672" s="132"/>
    </row>
    <row r="673" spans="1:8" s="290" customFormat="1" outlineLevel="2">
      <c r="A673" s="382"/>
      <c r="B673" s="382"/>
      <c r="C673" s="386">
        <v>2210400</v>
      </c>
      <c r="D673" s="387" t="s">
        <v>28</v>
      </c>
      <c r="E673" s="388">
        <f>SUM(E674:E676)</f>
        <v>404000</v>
      </c>
      <c r="F673" s="319">
        <f t="shared" ref="F673:G673" si="669">E673*1.1</f>
        <v>444400.00000000006</v>
      </c>
      <c r="G673" s="319">
        <f t="shared" si="669"/>
        <v>488840.00000000012</v>
      </c>
      <c r="H673" s="132"/>
    </row>
    <row r="674" spans="1:8" s="290" customFormat="1" outlineLevel="2">
      <c r="A674" s="382"/>
      <c r="B674" s="382"/>
      <c r="C674" s="389">
        <v>2210401</v>
      </c>
      <c r="D674" s="340" t="s">
        <v>24</v>
      </c>
      <c r="E674" s="390">
        <v>116000</v>
      </c>
      <c r="F674" s="319">
        <f t="shared" ref="F674:G674" si="670">E674*1.1</f>
        <v>127600.00000000001</v>
      </c>
      <c r="G674" s="319">
        <f t="shared" si="670"/>
        <v>140360.00000000003</v>
      </c>
      <c r="H674" s="132"/>
    </row>
    <row r="675" spans="1:8" s="290" customFormat="1" outlineLevel="2">
      <c r="A675" s="382"/>
      <c r="B675" s="382"/>
      <c r="C675" s="389">
        <v>2210402</v>
      </c>
      <c r="D675" s="340" t="s">
        <v>29</v>
      </c>
      <c r="E675" s="390">
        <v>230000</v>
      </c>
      <c r="F675" s="319">
        <f t="shared" ref="F675:G675" si="671">E675*1.1</f>
        <v>253000.00000000003</v>
      </c>
      <c r="G675" s="319">
        <f t="shared" si="671"/>
        <v>278300.00000000006</v>
      </c>
      <c r="H675" s="132"/>
    </row>
    <row r="676" spans="1:8" s="290" customFormat="1" outlineLevel="2">
      <c r="A676" s="382"/>
      <c r="B676" s="382"/>
      <c r="C676" s="389">
        <v>2210404</v>
      </c>
      <c r="D676" s="340" t="s">
        <v>27</v>
      </c>
      <c r="E676" s="390">
        <v>58000</v>
      </c>
      <c r="F676" s="319">
        <f t="shared" ref="F676:G676" si="672">E676*1.1</f>
        <v>63800.000000000007</v>
      </c>
      <c r="G676" s="319">
        <f t="shared" si="672"/>
        <v>70180.000000000015</v>
      </c>
      <c r="H676" s="132"/>
    </row>
    <row r="677" spans="1:8" s="290" customFormat="1" outlineLevel="2">
      <c r="A677" s="382"/>
      <c r="B677" s="382"/>
      <c r="C677" s="386">
        <v>2210500</v>
      </c>
      <c r="D677" s="387" t="s">
        <v>30</v>
      </c>
      <c r="E677" s="388">
        <f>SUM(E678:E681)</f>
        <v>1587640</v>
      </c>
      <c r="F677" s="319">
        <f t="shared" ref="F677:G677" si="673">E677*1.1</f>
        <v>1746404.0000000002</v>
      </c>
      <c r="G677" s="319">
        <f t="shared" si="673"/>
        <v>1921044.4000000004</v>
      </c>
      <c r="H677" s="132"/>
    </row>
    <row r="678" spans="1:8" s="290" customFormat="1" outlineLevel="2">
      <c r="A678" s="382"/>
      <c r="B678" s="382"/>
      <c r="C678" s="389">
        <v>2210503</v>
      </c>
      <c r="D678" s="340" t="s">
        <v>31</v>
      </c>
      <c r="E678" s="390">
        <v>580000</v>
      </c>
      <c r="F678" s="319">
        <f t="shared" ref="F678:G678" si="674">E678*1.1</f>
        <v>638000</v>
      </c>
      <c r="G678" s="319">
        <f t="shared" si="674"/>
        <v>701800</v>
      </c>
      <c r="H678" s="132"/>
    </row>
    <row r="679" spans="1:8" s="290" customFormat="1" outlineLevel="2">
      <c r="A679" s="382"/>
      <c r="B679" s="382"/>
      <c r="C679" s="389">
        <v>2210504</v>
      </c>
      <c r="D679" s="340" t="s">
        <v>32</v>
      </c>
      <c r="E679" s="390">
        <v>260000</v>
      </c>
      <c r="F679" s="319">
        <f t="shared" ref="F679:G679" si="675">E679*1.1</f>
        <v>286000</v>
      </c>
      <c r="G679" s="319">
        <f t="shared" si="675"/>
        <v>314600</v>
      </c>
      <c r="H679" s="132"/>
    </row>
    <row r="680" spans="1:8" s="290" customFormat="1" outlineLevel="2">
      <c r="A680" s="382"/>
      <c r="B680" s="382"/>
      <c r="C680" s="389" t="s">
        <v>128</v>
      </c>
      <c r="D680" s="340" t="s">
        <v>150</v>
      </c>
      <c r="E680" s="390">
        <f>380000+17640</f>
        <v>397640</v>
      </c>
      <c r="F680" s="319">
        <f t="shared" ref="F680:G680" si="676">E680*1.1</f>
        <v>437404.00000000006</v>
      </c>
      <c r="G680" s="319">
        <f t="shared" si="676"/>
        <v>481144.40000000008</v>
      </c>
      <c r="H680" s="132"/>
    </row>
    <row r="681" spans="1:8" s="290" customFormat="1" outlineLevel="2">
      <c r="A681" s="382"/>
      <c r="B681" s="382"/>
      <c r="C681" s="389">
        <v>2210599</v>
      </c>
      <c r="D681" s="340" t="s">
        <v>33</v>
      </c>
      <c r="E681" s="390">
        <v>350000</v>
      </c>
      <c r="F681" s="319">
        <f t="shared" ref="F681:G681" si="677">E681*1.1</f>
        <v>385000.00000000006</v>
      </c>
      <c r="G681" s="319">
        <f t="shared" si="677"/>
        <v>423500.00000000012</v>
      </c>
      <c r="H681" s="132"/>
    </row>
    <row r="682" spans="1:8" s="290" customFormat="1" outlineLevel="2">
      <c r="A682" s="382"/>
      <c r="B682" s="382"/>
      <c r="C682" s="386">
        <v>2210700</v>
      </c>
      <c r="D682" s="387" t="s">
        <v>34</v>
      </c>
      <c r="E682" s="388">
        <f>SUM(E683:E688)</f>
        <v>1791000</v>
      </c>
      <c r="F682" s="319">
        <f t="shared" ref="F682:G682" si="678">E682*1.1</f>
        <v>1970100.0000000002</v>
      </c>
      <c r="G682" s="319">
        <f t="shared" si="678"/>
        <v>2167110.0000000005</v>
      </c>
      <c r="H682" s="132"/>
    </row>
    <row r="683" spans="1:8" s="290" customFormat="1" outlineLevel="2">
      <c r="A683" s="382"/>
      <c r="B683" s="382"/>
      <c r="C683" s="389">
        <v>2210701</v>
      </c>
      <c r="D683" s="340" t="s">
        <v>35</v>
      </c>
      <c r="E683" s="390">
        <v>850000</v>
      </c>
      <c r="F683" s="319">
        <f t="shared" ref="F683:G683" si="679">E683*1.1</f>
        <v>935000.00000000012</v>
      </c>
      <c r="G683" s="319">
        <f t="shared" si="679"/>
        <v>1028500.0000000002</v>
      </c>
      <c r="H683" s="132"/>
    </row>
    <row r="684" spans="1:8" s="290" customFormat="1" outlineLevel="2">
      <c r="A684" s="382"/>
      <c r="B684" s="382"/>
      <c r="C684" s="389">
        <v>2210702</v>
      </c>
      <c r="D684" s="340" t="s">
        <v>36</v>
      </c>
      <c r="E684" s="390">
        <v>220000</v>
      </c>
      <c r="F684" s="319">
        <f t="shared" ref="F684:G684" si="680">E684*1.1</f>
        <v>242000.00000000003</v>
      </c>
      <c r="G684" s="319">
        <f t="shared" si="680"/>
        <v>266200.00000000006</v>
      </c>
      <c r="H684" s="132"/>
    </row>
    <row r="685" spans="1:8" s="290" customFormat="1" outlineLevel="2">
      <c r="A685" s="382"/>
      <c r="B685" s="382"/>
      <c r="C685" s="389">
        <v>2210704</v>
      </c>
      <c r="D685" s="340" t="s">
        <v>37</v>
      </c>
      <c r="E685" s="390">
        <v>380000</v>
      </c>
      <c r="F685" s="319">
        <f t="shared" ref="F685:G685" si="681">E685*1.1</f>
        <v>418000.00000000006</v>
      </c>
      <c r="G685" s="319">
        <f t="shared" si="681"/>
        <v>459800.00000000012</v>
      </c>
      <c r="H685" s="132"/>
    </row>
    <row r="686" spans="1:8" s="290" customFormat="1" outlineLevel="2">
      <c r="A686" s="382"/>
      <c r="B686" s="382"/>
      <c r="C686" s="389">
        <v>2210710</v>
      </c>
      <c r="D686" s="340" t="s">
        <v>38</v>
      </c>
      <c r="E686" s="390">
        <v>109000</v>
      </c>
      <c r="F686" s="319">
        <f t="shared" ref="F686:G686" si="682">E686*1.1</f>
        <v>119900.00000000001</v>
      </c>
      <c r="G686" s="319">
        <f t="shared" si="682"/>
        <v>131890.00000000003</v>
      </c>
      <c r="H686" s="132"/>
    </row>
    <row r="687" spans="1:8" s="290" customFormat="1" outlineLevel="2">
      <c r="A687" s="382"/>
      <c r="B687" s="382"/>
      <c r="C687" s="389">
        <v>2210715</v>
      </c>
      <c r="D687" s="340" t="s">
        <v>39</v>
      </c>
      <c r="E687" s="390">
        <v>120000</v>
      </c>
      <c r="F687" s="319">
        <f t="shared" ref="F687:G687" si="683">E687*1.1</f>
        <v>132000</v>
      </c>
      <c r="G687" s="319">
        <f t="shared" si="683"/>
        <v>145200</v>
      </c>
      <c r="H687" s="132"/>
    </row>
    <row r="688" spans="1:8" s="290" customFormat="1" outlineLevel="2">
      <c r="A688" s="382"/>
      <c r="B688" s="382"/>
      <c r="C688" s="389">
        <v>2210799</v>
      </c>
      <c r="D688" s="340" t="s">
        <v>40</v>
      </c>
      <c r="E688" s="390">
        <v>112000</v>
      </c>
      <c r="F688" s="319">
        <f t="shared" ref="F688:G688" si="684">E688*1.1</f>
        <v>123200.00000000001</v>
      </c>
      <c r="G688" s="319">
        <f t="shared" si="684"/>
        <v>135520.00000000003</v>
      </c>
      <c r="H688" s="132"/>
    </row>
    <row r="689" spans="1:8" s="290" customFormat="1" outlineLevel="2">
      <c r="A689" s="382"/>
      <c r="B689" s="382"/>
      <c r="C689" s="386">
        <v>2210800</v>
      </c>
      <c r="D689" s="387" t="s">
        <v>41</v>
      </c>
      <c r="E689" s="388">
        <f>SUM(E690:E691)</f>
        <v>1400000</v>
      </c>
      <c r="F689" s="319">
        <f t="shared" ref="F689:G689" si="685">E689*1.1</f>
        <v>1540000.0000000002</v>
      </c>
      <c r="G689" s="319">
        <f t="shared" si="685"/>
        <v>1694000.0000000005</v>
      </c>
      <c r="H689" s="132"/>
    </row>
    <row r="690" spans="1:8" s="290" customFormat="1" ht="30" outlineLevel="2">
      <c r="A690" s="382"/>
      <c r="B690" s="382"/>
      <c r="C690" s="389">
        <v>2210801</v>
      </c>
      <c r="D690" s="340" t="s">
        <v>42</v>
      </c>
      <c r="E690" s="390">
        <v>620000</v>
      </c>
      <c r="F690" s="319">
        <f t="shared" ref="F690:G690" si="686">E690*1.1</f>
        <v>682000</v>
      </c>
      <c r="G690" s="319">
        <f t="shared" si="686"/>
        <v>750200.00000000012</v>
      </c>
      <c r="H690" s="132"/>
    </row>
    <row r="691" spans="1:8" s="290" customFormat="1" outlineLevel="2">
      <c r="A691" s="382"/>
      <c r="B691" s="382"/>
      <c r="C691" s="389">
        <v>2210802</v>
      </c>
      <c r="D691" s="340" t="s">
        <v>43</v>
      </c>
      <c r="E691" s="390">
        <v>780000</v>
      </c>
      <c r="F691" s="319">
        <f t="shared" ref="F691:G691" si="687">E691*1.1</f>
        <v>858000.00000000012</v>
      </c>
      <c r="G691" s="319">
        <f t="shared" si="687"/>
        <v>943800.00000000023</v>
      </c>
      <c r="H691" s="132"/>
    </row>
    <row r="692" spans="1:8" s="290" customFormat="1" outlineLevel="2">
      <c r="A692" s="382"/>
      <c r="B692" s="382"/>
      <c r="C692" s="386">
        <v>2211100</v>
      </c>
      <c r="D692" s="387" t="s">
        <v>49</v>
      </c>
      <c r="E692" s="388">
        <f>SUM(E693:E696)</f>
        <v>1011000</v>
      </c>
      <c r="F692" s="319">
        <f t="shared" ref="F692:G692" si="688">E692*1.1</f>
        <v>1112100</v>
      </c>
      <c r="G692" s="319">
        <f t="shared" si="688"/>
        <v>1223310</v>
      </c>
      <c r="H692" s="132"/>
    </row>
    <row r="693" spans="1:8" s="290" customFormat="1" ht="30" outlineLevel="2">
      <c r="A693" s="382"/>
      <c r="B693" s="382"/>
      <c r="C693" s="389">
        <v>2211101</v>
      </c>
      <c r="D693" s="340" t="s">
        <v>50</v>
      </c>
      <c r="E693" s="390">
        <v>520000</v>
      </c>
      <c r="F693" s="319">
        <f t="shared" ref="F693:G693" si="689">E693*1.1</f>
        <v>572000</v>
      </c>
      <c r="G693" s="319">
        <f t="shared" si="689"/>
        <v>629200</v>
      </c>
      <c r="H693" s="132"/>
    </row>
    <row r="694" spans="1:8" s="290" customFormat="1" outlineLevel="2">
      <c r="A694" s="382"/>
      <c r="B694" s="382"/>
      <c r="C694" s="389">
        <v>2211102</v>
      </c>
      <c r="D694" s="340" t="s">
        <v>51</v>
      </c>
      <c r="E694" s="390">
        <v>216000</v>
      </c>
      <c r="F694" s="319">
        <f t="shared" ref="F694:G694" si="690">E694*1.1</f>
        <v>237600.00000000003</v>
      </c>
      <c r="G694" s="319">
        <f t="shared" si="690"/>
        <v>261360.00000000006</v>
      </c>
      <c r="H694" s="132"/>
    </row>
    <row r="695" spans="1:8" s="290" customFormat="1" outlineLevel="2">
      <c r="A695" s="382"/>
      <c r="B695" s="382"/>
      <c r="C695" s="389">
        <v>2211103</v>
      </c>
      <c r="D695" s="340" t="s">
        <v>52</v>
      </c>
      <c r="E695" s="390">
        <v>95000</v>
      </c>
      <c r="F695" s="319">
        <f t="shared" ref="F695:G695" si="691">E695*1.1</f>
        <v>104500.00000000001</v>
      </c>
      <c r="G695" s="319">
        <f t="shared" si="691"/>
        <v>114950.00000000003</v>
      </c>
      <c r="H695" s="132"/>
    </row>
    <row r="696" spans="1:8" s="290" customFormat="1" outlineLevel="2">
      <c r="A696" s="382"/>
      <c r="B696" s="382"/>
      <c r="C696" s="389" t="s">
        <v>131</v>
      </c>
      <c r="D696" s="340" t="s">
        <v>132</v>
      </c>
      <c r="E696" s="390">
        <v>180000</v>
      </c>
      <c r="F696" s="319">
        <f t="shared" ref="F696:G696" si="692">E696*1.1</f>
        <v>198000.00000000003</v>
      </c>
      <c r="G696" s="319">
        <f t="shared" si="692"/>
        <v>217800.00000000006</v>
      </c>
      <c r="H696" s="132"/>
    </row>
    <row r="697" spans="1:8" s="290" customFormat="1" outlineLevel="2">
      <c r="A697" s="382"/>
      <c r="B697" s="382"/>
      <c r="C697" s="386">
        <v>2211200</v>
      </c>
      <c r="D697" s="387" t="s">
        <v>53</v>
      </c>
      <c r="E697" s="388">
        <f>SUM(E698)</f>
        <v>765900</v>
      </c>
      <c r="F697" s="319">
        <f t="shared" ref="F697:G697" si="693">E697*1.1</f>
        <v>842490.00000000012</v>
      </c>
      <c r="G697" s="319">
        <f t="shared" si="693"/>
        <v>926739.00000000023</v>
      </c>
      <c r="H697" s="132"/>
    </row>
    <row r="698" spans="1:8" s="290" customFormat="1" outlineLevel="2">
      <c r="A698" s="382"/>
      <c r="B698" s="382"/>
      <c r="C698" s="389">
        <v>2211201</v>
      </c>
      <c r="D698" s="340" t="s">
        <v>91</v>
      </c>
      <c r="E698" s="390">
        <v>765900</v>
      </c>
      <c r="F698" s="319">
        <f t="shared" ref="F698:G698" si="694">E698*1.1</f>
        <v>842490.00000000012</v>
      </c>
      <c r="G698" s="319">
        <f t="shared" si="694"/>
        <v>926739.00000000023</v>
      </c>
      <c r="H698" s="132"/>
    </row>
    <row r="699" spans="1:8" s="290" customFormat="1" outlineLevel="2">
      <c r="A699" s="382"/>
      <c r="B699" s="382"/>
      <c r="C699" s="386">
        <v>2211300</v>
      </c>
      <c r="D699" s="387" t="s">
        <v>55</v>
      </c>
      <c r="E699" s="388">
        <f>SUM(E700:E701)</f>
        <v>1540000</v>
      </c>
      <c r="F699" s="319">
        <f t="shared" ref="F699:G699" si="695">E699*1.1</f>
        <v>1694000.0000000002</v>
      </c>
      <c r="G699" s="319">
        <f t="shared" si="695"/>
        <v>1863400.0000000005</v>
      </c>
      <c r="H699" s="132"/>
    </row>
    <row r="700" spans="1:8" s="290" customFormat="1" outlineLevel="2">
      <c r="A700" s="382"/>
      <c r="B700" s="382"/>
      <c r="C700" s="389">
        <v>2211320</v>
      </c>
      <c r="D700" s="340" t="s">
        <v>59</v>
      </c>
      <c r="E700" s="390">
        <v>760000</v>
      </c>
      <c r="F700" s="319">
        <f t="shared" ref="F700:G700" si="696">E700*1.1</f>
        <v>836000.00000000012</v>
      </c>
      <c r="G700" s="319">
        <f t="shared" si="696"/>
        <v>919600.00000000023</v>
      </c>
      <c r="H700" s="132"/>
    </row>
    <row r="701" spans="1:8" s="290" customFormat="1" outlineLevel="2">
      <c r="A701" s="382"/>
      <c r="B701" s="382"/>
      <c r="C701" s="389">
        <v>2211399</v>
      </c>
      <c r="D701" s="340" t="s">
        <v>60</v>
      </c>
      <c r="E701" s="390">
        <v>780000</v>
      </c>
      <c r="F701" s="319">
        <f t="shared" ref="F701:G701" si="697">E701*1.1</f>
        <v>858000.00000000012</v>
      </c>
      <c r="G701" s="319">
        <f t="shared" si="697"/>
        <v>943800.00000000023</v>
      </c>
      <c r="H701" s="132"/>
    </row>
    <row r="702" spans="1:8" s="290" customFormat="1" ht="30" outlineLevel="2">
      <c r="A702" s="382"/>
      <c r="B702" s="382"/>
      <c r="C702" s="386">
        <v>2220100</v>
      </c>
      <c r="D702" s="387" t="s">
        <v>61</v>
      </c>
      <c r="E702" s="388">
        <f>SUM(E703:E704)</f>
        <v>860000</v>
      </c>
      <c r="F702" s="319">
        <f t="shared" ref="F702:G702" si="698">E702*1.1</f>
        <v>946000.00000000012</v>
      </c>
      <c r="G702" s="319">
        <f t="shared" si="698"/>
        <v>1040600.0000000002</v>
      </c>
      <c r="H702" s="132"/>
    </row>
    <row r="703" spans="1:8" s="290" customFormat="1" outlineLevel="2">
      <c r="A703" s="382"/>
      <c r="B703" s="382"/>
      <c r="C703" s="389">
        <v>2220101</v>
      </c>
      <c r="D703" s="340" t="s">
        <v>62</v>
      </c>
      <c r="E703" s="390">
        <v>580000</v>
      </c>
      <c r="F703" s="319">
        <f t="shared" ref="F703:G703" si="699">E703*1.1</f>
        <v>638000</v>
      </c>
      <c r="G703" s="319">
        <f t="shared" si="699"/>
        <v>701800</v>
      </c>
      <c r="H703" s="132"/>
    </row>
    <row r="704" spans="1:8" s="290" customFormat="1" outlineLevel="2">
      <c r="A704" s="382"/>
      <c r="B704" s="382"/>
      <c r="C704" s="389">
        <v>2220105</v>
      </c>
      <c r="D704" s="340" t="s">
        <v>64</v>
      </c>
      <c r="E704" s="390">
        <v>280000</v>
      </c>
      <c r="F704" s="319">
        <f t="shared" ref="F704:G704" si="700">E704*1.1</f>
        <v>308000</v>
      </c>
      <c r="G704" s="319">
        <f t="shared" si="700"/>
        <v>338800</v>
      </c>
      <c r="H704" s="132"/>
    </row>
    <row r="705" spans="1:11" s="290" customFormat="1" outlineLevel="2">
      <c r="A705" s="382"/>
      <c r="B705" s="382"/>
      <c r="C705" s="386">
        <v>3110900</v>
      </c>
      <c r="D705" s="387" t="s">
        <v>134</v>
      </c>
      <c r="E705" s="388">
        <f>SUM(E706:E706)</f>
        <v>45000</v>
      </c>
      <c r="F705" s="319">
        <f t="shared" ref="F705:G705" si="701">E705*1.1</f>
        <v>49500.000000000007</v>
      </c>
      <c r="G705" s="319">
        <f t="shared" si="701"/>
        <v>54450.000000000015</v>
      </c>
      <c r="H705" s="132"/>
    </row>
    <row r="706" spans="1:11" s="290" customFormat="1" outlineLevel="2">
      <c r="A706" s="382"/>
      <c r="B706" s="382"/>
      <c r="C706" s="389">
        <v>3111003</v>
      </c>
      <c r="D706" s="340" t="s">
        <v>135</v>
      </c>
      <c r="E706" s="390">
        <v>45000</v>
      </c>
      <c r="F706" s="319">
        <f t="shared" ref="F706:G706" si="702">E706*1.1</f>
        <v>49500.000000000007</v>
      </c>
      <c r="G706" s="319">
        <f t="shared" si="702"/>
        <v>54450.000000000015</v>
      </c>
      <c r="H706" s="132"/>
    </row>
    <row r="707" spans="1:11" s="290" customFormat="1" outlineLevel="2">
      <c r="A707" s="382"/>
      <c r="B707" s="382"/>
      <c r="C707" s="386">
        <v>3111000</v>
      </c>
      <c r="D707" s="387" t="s">
        <v>65</v>
      </c>
      <c r="E707" s="388">
        <f>E708+E709</f>
        <v>1160000</v>
      </c>
      <c r="F707" s="319">
        <f t="shared" ref="F707:G707" si="703">E707*1.1</f>
        <v>1276000</v>
      </c>
      <c r="G707" s="319">
        <f t="shared" si="703"/>
        <v>1403600</v>
      </c>
      <c r="H707" s="132"/>
    </row>
    <row r="708" spans="1:11" s="290" customFormat="1" outlineLevel="2">
      <c r="A708" s="382"/>
      <c r="B708" s="382"/>
      <c r="C708" s="389">
        <v>3111001</v>
      </c>
      <c r="D708" s="340" t="s">
        <v>66</v>
      </c>
      <c r="E708" s="390">
        <v>570000</v>
      </c>
      <c r="F708" s="319">
        <f t="shared" ref="F708:G708" si="704">E708*1.1</f>
        <v>627000</v>
      </c>
      <c r="G708" s="319">
        <f t="shared" si="704"/>
        <v>689700</v>
      </c>
      <c r="H708" s="132"/>
    </row>
    <row r="709" spans="1:11" s="290" customFormat="1" outlineLevel="2">
      <c r="A709" s="382"/>
      <c r="B709" s="382"/>
      <c r="C709" s="389">
        <v>3111002</v>
      </c>
      <c r="D709" s="340" t="s">
        <v>67</v>
      </c>
      <c r="E709" s="390">
        <v>590000</v>
      </c>
      <c r="F709" s="319">
        <f t="shared" ref="F709:G709" si="705">E709*1.1</f>
        <v>649000</v>
      </c>
      <c r="G709" s="319">
        <f t="shared" si="705"/>
        <v>713900</v>
      </c>
      <c r="H709" s="132"/>
    </row>
    <row r="710" spans="1:11" s="290" customFormat="1" outlineLevel="1">
      <c r="A710" s="382"/>
      <c r="B710" s="382"/>
      <c r="C710" s="391"/>
      <c r="D710" s="392" t="s">
        <v>70</v>
      </c>
      <c r="E710" s="393">
        <f>E707+E705+E702+E699+E697+E692+E689+E682+E677+E673+E668+E664+E661</f>
        <v>13320540</v>
      </c>
      <c r="F710" s="319">
        <f t="shared" ref="F710:G710" si="706">E710*1.1</f>
        <v>14652594.000000002</v>
      </c>
      <c r="G710" s="319">
        <f t="shared" si="706"/>
        <v>16117853.400000004</v>
      </c>
      <c r="H710" s="132"/>
    </row>
    <row r="711" spans="1:11" s="290" customFormat="1" ht="30" outlineLevel="1">
      <c r="A711" s="382"/>
      <c r="B711" s="382"/>
      <c r="C711" s="391"/>
      <c r="D711" s="392" t="s">
        <v>151</v>
      </c>
      <c r="E711" s="393">
        <f>E710+E658+E603+E551+E498+E442+E389</f>
        <v>144433860</v>
      </c>
      <c r="F711" s="319">
        <f t="shared" ref="F711:G711" si="707">E711*1.1</f>
        <v>158877246</v>
      </c>
      <c r="G711" s="319">
        <f t="shared" si="707"/>
        <v>174764970.60000002</v>
      </c>
      <c r="H711" s="132"/>
      <c r="K711" s="846"/>
    </row>
    <row r="712" spans="1:11" s="290" customFormat="1" outlineLevel="1">
      <c r="A712" s="382"/>
      <c r="B712" s="382"/>
      <c r="C712" s="391"/>
      <c r="D712" s="392"/>
      <c r="E712" s="393"/>
      <c r="F712" s="319">
        <f t="shared" ref="F712:G712" si="708">E712*1.1</f>
        <v>0</v>
      </c>
      <c r="G712" s="319">
        <f t="shared" si="708"/>
        <v>0</v>
      </c>
      <c r="H712" s="132"/>
    </row>
    <row r="713" spans="1:11" s="290" customFormat="1" outlineLevel="1">
      <c r="A713" s="382"/>
      <c r="B713" s="382"/>
      <c r="C713" s="401" t="s">
        <v>152</v>
      </c>
      <c r="D713" s="402"/>
      <c r="E713" s="403"/>
      <c r="F713" s="319">
        <f t="shared" ref="F713:G713" si="709">E713*1.1</f>
        <v>0</v>
      </c>
      <c r="G713" s="319">
        <f t="shared" si="709"/>
        <v>0</v>
      </c>
      <c r="H713" s="132"/>
    </row>
    <row r="714" spans="1:11" s="290" customFormat="1" outlineLevel="1">
      <c r="A714" s="382"/>
      <c r="B714" s="382"/>
      <c r="C714" s="401" t="s">
        <v>153</v>
      </c>
      <c r="D714" s="404"/>
      <c r="E714" s="405"/>
      <c r="F714" s="319">
        <f t="shared" ref="F714:G714" si="710">E714*1.1</f>
        <v>0</v>
      </c>
      <c r="G714" s="319">
        <f t="shared" si="710"/>
        <v>0</v>
      </c>
      <c r="H714" s="132"/>
      <c r="I714" s="290">
        <v>2364149.9082527161</v>
      </c>
    </row>
    <row r="715" spans="1:11" s="290" customFormat="1" outlineLevel="1">
      <c r="A715" s="382"/>
      <c r="B715" s="382"/>
      <c r="C715" s="401" t="s">
        <v>154</v>
      </c>
      <c r="D715" s="404"/>
      <c r="E715" s="405"/>
      <c r="F715" s="319">
        <f t="shared" ref="F715:G715" si="711">E715*1.1</f>
        <v>0</v>
      </c>
      <c r="G715" s="319">
        <f t="shared" si="711"/>
        <v>0</v>
      </c>
      <c r="H715" s="132"/>
    </row>
    <row r="716" spans="1:11" s="290" customFormat="1" outlineLevel="3">
      <c r="A716" s="382"/>
      <c r="B716" s="382"/>
      <c r="C716" s="406">
        <v>2110200</v>
      </c>
      <c r="D716" s="407" t="s">
        <v>155</v>
      </c>
      <c r="E716" s="408">
        <f>E717</f>
        <v>29505075</v>
      </c>
      <c r="F716" s="319">
        <f t="shared" ref="F716:G716" si="712">E716*1.1</f>
        <v>32455582.500000004</v>
      </c>
      <c r="G716" s="319">
        <f t="shared" si="712"/>
        <v>35701140.750000007</v>
      </c>
      <c r="H716" s="132"/>
    </row>
    <row r="717" spans="1:11" s="739" customFormat="1" outlineLevel="3">
      <c r="A717" s="860"/>
      <c r="B717" s="860"/>
      <c r="C717" s="861" t="s">
        <v>156</v>
      </c>
      <c r="D717" s="862" t="s">
        <v>157</v>
      </c>
      <c r="E717" s="863">
        <v>29505075</v>
      </c>
      <c r="F717" s="854">
        <f t="shared" ref="F717:G717" si="713">E717*1.1</f>
        <v>32455582.500000004</v>
      </c>
      <c r="G717" s="854">
        <f t="shared" si="713"/>
        <v>35701140.750000007</v>
      </c>
      <c r="H717" s="855">
        <v>29505075</v>
      </c>
      <c r="I717" s="864">
        <f>H717-E717</f>
        <v>0</v>
      </c>
    </row>
    <row r="718" spans="1:11" s="290" customFormat="1" outlineLevel="3">
      <c r="A718" s="382"/>
      <c r="B718" s="382"/>
      <c r="C718" s="406">
        <v>2210100</v>
      </c>
      <c r="D718" s="407" t="s">
        <v>16</v>
      </c>
      <c r="E718" s="408">
        <f>E719+E720</f>
        <v>133100</v>
      </c>
      <c r="F718" s="319">
        <f t="shared" ref="F718:G718" si="714">E718*1.1</f>
        <v>146410</v>
      </c>
      <c r="G718" s="319">
        <f t="shared" si="714"/>
        <v>161051</v>
      </c>
      <c r="H718" s="132"/>
    </row>
    <row r="719" spans="1:11" s="290" customFormat="1" outlineLevel="3">
      <c r="A719" s="382"/>
      <c r="B719" s="382"/>
      <c r="C719" s="409">
        <v>2210101</v>
      </c>
      <c r="D719" s="410" t="s">
        <v>17</v>
      </c>
      <c r="E719" s="411">
        <v>52600</v>
      </c>
      <c r="F719" s="319">
        <f t="shared" ref="F719:G719" si="715">E719*1.1</f>
        <v>57860.000000000007</v>
      </c>
      <c r="G719" s="319">
        <f t="shared" si="715"/>
        <v>63646.000000000015</v>
      </c>
      <c r="H719" s="132"/>
    </row>
    <row r="720" spans="1:11" s="290" customFormat="1" outlineLevel="3">
      <c r="A720" s="382"/>
      <c r="B720" s="382"/>
      <c r="C720" s="409">
        <v>2210102</v>
      </c>
      <c r="D720" s="410" t="s">
        <v>18</v>
      </c>
      <c r="E720" s="411">
        <v>80500</v>
      </c>
      <c r="F720" s="319">
        <f t="shared" ref="F720:G720" si="716">E720*1.1</f>
        <v>88550</v>
      </c>
      <c r="G720" s="319">
        <f t="shared" si="716"/>
        <v>97405.000000000015</v>
      </c>
      <c r="H720" s="132"/>
    </row>
    <row r="721" spans="1:9" s="290" customFormat="1" outlineLevel="3">
      <c r="A721" s="382"/>
      <c r="B721" s="382"/>
      <c r="C721" s="406">
        <v>2210200</v>
      </c>
      <c r="D721" s="407" t="s">
        <v>19</v>
      </c>
      <c r="E721" s="408">
        <f>E722+E723+E724</f>
        <v>1494230</v>
      </c>
      <c r="F721" s="319">
        <f t="shared" ref="F721:G721" si="717">E721*1.1</f>
        <v>1643653.0000000002</v>
      </c>
      <c r="G721" s="319">
        <f t="shared" si="717"/>
        <v>1808018.3000000005</v>
      </c>
      <c r="H721" s="132"/>
    </row>
    <row r="722" spans="1:9" s="290" customFormat="1" outlineLevel="3">
      <c r="A722" s="382"/>
      <c r="B722" s="382"/>
      <c r="C722" s="409">
        <v>2210201</v>
      </c>
      <c r="D722" s="410" t="s">
        <v>158</v>
      </c>
      <c r="E722" s="411">
        <v>1220280</v>
      </c>
      <c r="F722" s="319">
        <f t="shared" ref="F722:G722" si="718">E722*1.1</f>
        <v>1342308</v>
      </c>
      <c r="G722" s="319">
        <f t="shared" si="718"/>
        <v>1476538.8</v>
      </c>
      <c r="H722" s="132"/>
    </row>
    <row r="723" spans="1:9" s="290" customFormat="1" outlineLevel="3">
      <c r="A723" s="382"/>
      <c r="B723" s="382"/>
      <c r="C723" s="409">
        <v>2210202</v>
      </c>
      <c r="D723" s="410" t="s">
        <v>21</v>
      </c>
      <c r="E723" s="411">
        <v>247200</v>
      </c>
      <c r="F723" s="319">
        <f t="shared" ref="F723:G723" si="719">E723*1.1</f>
        <v>271920</v>
      </c>
      <c r="G723" s="319">
        <f t="shared" si="719"/>
        <v>299112</v>
      </c>
      <c r="H723" s="132"/>
    </row>
    <row r="724" spans="1:9" s="290" customFormat="1" outlineLevel="3">
      <c r="A724" s="382"/>
      <c r="B724" s="382"/>
      <c r="C724" s="409">
        <v>2210303</v>
      </c>
      <c r="D724" s="410" t="s">
        <v>22</v>
      </c>
      <c r="E724" s="411">
        <v>26750</v>
      </c>
      <c r="F724" s="319">
        <f t="shared" ref="F724:G724" si="720">E724*1.1</f>
        <v>29425.000000000004</v>
      </c>
      <c r="G724" s="319">
        <f t="shared" si="720"/>
        <v>32367.500000000007</v>
      </c>
      <c r="H724" s="132"/>
    </row>
    <row r="725" spans="1:9" s="290" customFormat="1" ht="30" outlineLevel="3">
      <c r="A725" s="382"/>
      <c r="B725" s="382"/>
      <c r="C725" s="406">
        <v>2210300</v>
      </c>
      <c r="D725" s="407" t="s">
        <v>159</v>
      </c>
      <c r="E725" s="408">
        <f>E726+E727+E728+E729</f>
        <v>12577328</v>
      </c>
      <c r="F725" s="319">
        <f t="shared" ref="F725:G725" si="721">E725*1.1</f>
        <v>13835060.800000001</v>
      </c>
      <c r="G725" s="319">
        <f t="shared" si="721"/>
        <v>15218566.880000003</v>
      </c>
      <c r="H725" s="132"/>
      <c r="I725" s="290">
        <v>-9166424.0917472839</v>
      </c>
    </row>
    <row r="726" spans="1:9" s="290" customFormat="1" outlineLevel="3">
      <c r="A726" s="382"/>
      <c r="B726" s="382"/>
      <c r="C726" s="409">
        <v>2210301</v>
      </c>
      <c r="D726" s="410" t="s">
        <v>24</v>
      </c>
      <c r="E726" s="412">
        <v>857000</v>
      </c>
      <c r="F726" s="319">
        <f t="shared" ref="F726:G726" si="722">E726*1.1</f>
        <v>942700.00000000012</v>
      </c>
      <c r="G726" s="319">
        <f t="shared" si="722"/>
        <v>1036970.0000000002</v>
      </c>
      <c r="H726" s="132"/>
    </row>
    <row r="727" spans="1:9" s="290" customFormat="1" ht="30" outlineLevel="3">
      <c r="A727" s="382"/>
      <c r="B727" s="382"/>
      <c r="C727" s="409">
        <v>2210302</v>
      </c>
      <c r="D727" s="410" t="s">
        <v>160</v>
      </c>
      <c r="E727" s="411">
        <v>4520000</v>
      </c>
      <c r="F727" s="319">
        <f t="shared" ref="F727:G727" si="723">E727*1.1</f>
        <v>4972000</v>
      </c>
      <c r="G727" s="319">
        <f t="shared" si="723"/>
        <v>5469200</v>
      </c>
      <c r="H727" s="132"/>
    </row>
    <row r="728" spans="1:9" s="290" customFormat="1" ht="30" outlineLevel="3">
      <c r="A728" s="382"/>
      <c r="B728" s="382"/>
      <c r="C728" s="409">
        <v>2210303</v>
      </c>
      <c r="D728" s="410" t="s">
        <v>161</v>
      </c>
      <c r="E728" s="411">
        <v>7020328</v>
      </c>
      <c r="F728" s="319">
        <f t="shared" ref="F728:G728" si="724">E728*1.1</f>
        <v>7722360.8000000007</v>
      </c>
      <c r="G728" s="319">
        <f t="shared" si="724"/>
        <v>8494596.8800000008</v>
      </c>
      <c r="H728" s="132"/>
    </row>
    <row r="729" spans="1:9" s="290" customFormat="1" outlineLevel="3">
      <c r="A729" s="382"/>
      <c r="B729" s="382"/>
      <c r="C729" s="409">
        <v>2210304</v>
      </c>
      <c r="D729" s="410" t="s">
        <v>27</v>
      </c>
      <c r="E729" s="411">
        <v>180000</v>
      </c>
      <c r="F729" s="319">
        <f t="shared" ref="F729:G729" si="725">E729*1.1</f>
        <v>198000.00000000003</v>
      </c>
      <c r="G729" s="319">
        <f t="shared" si="725"/>
        <v>217800.00000000006</v>
      </c>
      <c r="H729" s="132"/>
    </row>
    <row r="730" spans="1:9" s="290" customFormat="1" outlineLevel="3">
      <c r="A730" s="382"/>
      <c r="B730" s="382"/>
      <c r="C730" s="406">
        <v>2210500</v>
      </c>
      <c r="D730" s="407" t="s">
        <v>30</v>
      </c>
      <c r="E730" s="408">
        <f>E731+E732+E733+E734</f>
        <v>2388000</v>
      </c>
      <c r="F730" s="319">
        <f t="shared" ref="F730:G730" si="726">E730*1.1</f>
        <v>2626800</v>
      </c>
      <c r="G730" s="319">
        <f t="shared" si="726"/>
        <v>2889480.0000000005</v>
      </c>
      <c r="H730" s="132"/>
    </row>
    <row r="731" spans="1:9" s="290" customFormat="1" outlineLevel="3">
      <c r="A731" s="382"/>
      <c r="B731" s="382"/>
      <c r="C731" s="409">
        <v>2210502</v>
      </c>
      <c r="D731" s="410" t="s">
        <v>162</v>
      </c>
      <c r="E731" s="411">
        <v>958000</v>
      </c>
      <c r="F731" s="319">
        <f t="shared" ref="F731:G731" si="727">E731*1.1</f>
        <v>1053800</v>
      </c>
      <c r="G731" s="319">
        <f t="shared" si="727"/>
        <v>1159180</v>
      </c>
      <c r="H731" s="132"/>
    </row>
    <row r="732" spans="1:9" s="290" customFormat="1" outlineLevel="3">
      <c r="A732" s="382"/>
      <c r="B732" s="382"/>
      <c r="C732" s="409">
        <v>2210503</v>
      </c>
      <c r="D732" s="410" t="s">
        <v>31</v>
      </c>
      <c r="E732" s="411">
        <v>280000</v>
      </c>
      <c r="F732" s="319">
        <f t="shared" ref="F732:G732" si="728">E732*1.1</f>
        <v>308000</v>
      </c>
      <c r="G732" s="319">
        <f t="shared" si="728"/>
        <v>338800</v>
      </c>
      <c r="H732" s="132"/>
    </row>
    <row r="733" spans="1:9" s="290" customFormat="1" outlineLevel="3">
      <c r="A733" s="382"/>
      <c r="B733" s="382"/>
      <c r="C733" s="409">
        <v>2210504</v>
      </c>
      <c r="D733" s="410" t="s">
        <v>32</v>
      </c>
      <c r="E733" s="411">
        <v>1150000</v>
      </c>
      <c r="F733" s="319">
        <f t="shared" ref="F733:G733" si="729">E733*1.1</f>
        <v>1265000</v>
      </c>
      <c r="G733" s="319">
        <f t="shared" si="729"/>
        <v>1391500</v>
      </c>
      <c r="H733" s="132"/>
    </row>
    <row r="734" spans="1:9" s="290" customFormat="1" outlineLevel="3">
      <c r="A734" s="382"/>
      <c r="B734" s="382"/>
      <c r="C734" s="409">
        <v>2210599</v>
      </c>
      <c r="D734" s="410" t="s">
        <v>33</v>
      </c>
      <c r="E734" s="411"/>
      <c r="F734" s="319">
        <f t="shared" ref="F734:G734" si="730">E734*1.1</f>
        <v>0</v>
      </c>
      <c r="G734" s="319">
        <f t="shared" si="730"/>
        <v>0</v>
      </c>
      <c r="H734" s="132"/>
    </row>
    <row r="735" spans="1:9" s="290" customFormat="1" outlineLevel="3">
      <c r="A735" s="382"/>
      <c r="B735" s="382"/>
      <c r="C735" s="406">
        <v>2210600</v>
      </c>
      <c r="D735" s="407" t="s">
        <v>163</v>
      </c>
      <c r="E735" s="408">
        <f>E736</f>
        <v>7737900</v>
      </c>
      <c r="F735" s="319">
        <f t="shared" ref="F735:G735" si="731">E735*1.1</f>
        <v>8511690</v>
      </c>
      <c r="G735" s="319">
        <f t="shared" si="731"/>
        <v>9362859</v>
      </c>
      <c r="H735" s="132"/>
    </row>
    <row r="736" spans="1:9" s="290" customFormat="1" ht="30" outlineLevel="3">
      <c r="A736" s="382"/>
      <c r="B736" s="382"/>
      <c r="C736" s="409">
        <v>2210603</v>
      </c>
      <c r="D736" s="410" t="s">
        <v>164</v>
      </c>
      <c r="E736" s="411">
        <v>7737900</v>
      </c>
      <c r="F736" s="319">
        <f t="shared" ref="F736:G736" si="732">E736*1.1</f>
        <v>8511690</v>
      </c>
      <c r="G736" s="319">
        <f t="shared" si="732"/>
        <v>9362859</v>
      </c>
      <c r="H736" s="132"/>
    </row>
    <row r="737" spans="1:8" s="290" customFormat="1" outlineLevel="3">
      <c r="A737" s="382"/>
      <c r="B737" s="382"/>
      <c r="C737" s="406">
        <v>2210700</v>
      </c>
      <c r="D737" s="407" t="s">
        <v>165</v>
      </c>
      <c r="E737" s="408">
        <f>E738+E739+E740+E741+E742+E743</f>
        <v>1680000</v>
      </c>
      <c r="F737" s="319">
        <f t="shared" ref="F737:G737" si="733">E737*1.1</f>
        <v>1848000.0000000002</v>
      </c>
      <c r="G737" s="319">
        <f t="shared" si="733"/>
        <v>2032800.0000000005</v>
      </c>
      <c r="H737" s="132"/>
    </row>
    <row r="738" spans="1:8" s="290" customFormat="1" outlineLevel="3">
      <c r="A738" s="382"/>
      <c r="B738" s="382"/>
      <c r="C738" s="409">
        <v>2210701</v>
      </c>
      <c r="D738" s="410" t="s">
        <v>35</v>
      </c>
      <c r="E738" s="411">
        <v>360000</v>
      </c>
      <c r="F738" s="319">
        <f t="shared" ref="F738:G738" si="734">E738*1.1</f>
        <v>396000.00000000006</v>
      </c>
      <c r="G738" s="319">
        <f t="shared" si="734"/>
        <v>435600.00000000012</v>
      </c>
      <c r="H738" s="132"/>
    </row>
    <row r="739" spans="1:8" s="290" customFormat="1" outlineLevel="3">
      <c r="A739" s="382"/>
      <c r="B739" s="382"/>
      <c r="C739" s="409">
        <v>2210702</v>
      </c>
      <c r="D739" s="410" t="s">
        <v>36</v>
      </c>
      <c r="E739" s="411">
        <v>260000</v>
      </c>
      <c r="F739" s="319">
        <f t="shared" ref="F739:G739" si="735">E739*1.1</f>
        <v>286000</v>
      </c>
      <c r="G739" s="319">
        <f t="shared" si="735"/>
        <v>314600</v>
      </c>
      <c r="H739" s="132"/>
    </row>
    <row r="740" spans="1:8" s="290" customFormat="1" outlineLevel="3">
      <c r="A740" s="382"/>
      <c r="B740" s="382"/>
      <c r="C740" s="409">
        <v>2210703</v>
      </c>
      <c r="D740" s="410" t="s">
        <v>166</v>
      </c>
      <c r="E740" s="411">
        <v>220000</v>
      </c>
      <c r="F740" s="319">
        <f t="shared" ref="F740:G740" si="736">E740*1.1</f>
        <v>242000.00000000003</v>
      </c>
      <c r="G740" s="319">
        <f t="shared" si="736"/>
        <v>266200.00000000006</v>
      </c>
      <c r="H740" s="132"/>
    </row>
    <row r="741" spans="1:8" s="290" customFormat="1" outlineLevel="3">
      <c r="A741" s="382"/>
      <c r="B741" s="382"/>
      <c r="C741" s="409">
        <v>2210704</v>
      </c>
      <c r="D741" s="410" t="s">
        <v>37</v>
      </c>
      <c r="E741" s="411">
        <v>130000</v>
      </c>
      <c r="F741" s="319">
        <f t="shared" ref="F741:G741" si="737">E741*1.1</f>
        <v>143000</v>
      </c>
      <c r="G741" s="319">
        <f t="shared" si="737"/>
        <v>157300</v>
      </c>
      <c r="H741" s="132"/>
    </row>
    <row r="742" spans="1:8" s="290" customFormat="1" outlineLevel="3">
      <c r="A742" s="382"/>
      <c r="B742" s="382"/>
      <c r="C742" s="409">
        <v>2210710</v>
      </c>
      <c r="D742" s="410" t="s">
        <v>38</v>
      </c>
      <c r="E742" s="411">
        <v>300000</v>
      </c>
      <c r="F742" s="319">
        <f t="shared" ref="F742:G742" si="738">E742*1.1</f>
        <v>330000</v>
      </c>
      <c r="G742" s="319">
        <f t="shared" si="738"/>
        <v>363000.00000000006</v>
      </c>
      <c r="H742" s="132"/>
    </row>
    <row r="743" spans="1:8" s="290" customFormat="1" outlineLevel="3">
      <c r="A743" s="382"/>
      <c r="B743" s="382"/>
      <c r="C743" s="409">
        <v>2210711</v>
      </c>
      <c r="D743" s="410" t="s">
        <v>167</v>
      </c>
      <c r="E743" s="411">
        <v>410000</v>
      </c>
      <c r="F743" s="319">
        <f t="shared" ref="F743:G743" si="739">E743*1.1</f>
        <v>451000.00000000006</v>
      </c>
      <c r="G743" s="319">
        <f t="shared" si="739"/>
        <v>496100.00000000012</v>
      </c>
      <c r="H743" s="132"/>
    </row>
    <row r="744" spans="1:8" s="290" customFormat="1" outlineLevel="3">
      <c r="A744" s="382"/>
      <c r="B744" s="382"/>
      <c r="C744" s="406">
        <v>2210800</v>
      </c>
      <c r="D744" s="407" t="s">
        <v>41</v>
      </c>
      <c r="E744" s="408">
        <f>E745+E746+E747+E748</f>
        <v>1510000</v>
      </c>
      <c r="F744" s="319">
        <f t="shared" ref="F744:G744" si="740">E744*1.1</f>
        <v>1661000.0000000002</v>
      </c>
      <c r="G744" s="319">
        <f t="shared" si="740"/>
        <v>1827100.0000000005</v>
      </c>
      <c r="H744" s="132"/>
    </row>
    <row r="745" spans="1:8" s="290" customFormat="1" ht="30" outlineLevel="3">
      <c r="A745" s="382"/>
      <c r="B745" s="382"/>
      <c r="C745" s="409">
        <v>2210801</v>
      </c>
      <c r="D745" s="410" t="s">
        <v>85</v>
      </c>
      <c r="E745" s="411">
        <v>860000</v>
      </c>
      <c r="F745" s="319">
        <f t="shared" ref="F745:G745" si="741">E745*1.1</f>
        <v>946000.00000000012</v>
      </c>
      <c r="G745" s="319">
        <f t="shared" si="741"/>
        <v>1040600.0000000002</v>
      </c>
      <c r="H745" s="132"/>
    </row>
    <row r="746" spans="1:8" s="290" customFormat="1" ht="30" outlineLevel="3">
      <c r="A746" s="382"/>
      <c r="B746" s="382"/>
      <c r="C746" s="409">
        <v>2210802</v>
      </c>
      <c r="D746" s="410" t="s">
        <v>168</v>
      </c>
      <c r="E746" s="411">
        <v>625000</v>
      </c>
      <c r="F746" s="319">
        <f t="shared" ref="F746:G746" si="742">E746*1.1</f>
        <v>687500</v>
      </c>
      <c r="G746" s="319">
        <f t="shared" si="742"/>
        <v>756250.00000000012</v>
      </c>
      <c r="H746" s="132"/>
    </row>
    <row r="747" spans="1:8" s="290" customFormat="1" outlineLevel="3">
      <c r="A747" s="382"/>
      <c r="B747" s="382"/>
      <c r="C747" s="409">
        <v>2210805</v>
      </c>
      <c r="D747" s="410" t="s">
        <v>169</v>
      </c>
      <c r="E747" s="411">
        <v>15000</v>
      </c>
      <c r="F747" s="319">
        <f t="shared" ref="F747:G747" si="743">E747*1.1</f>
        <v>16500</v>
      </c>
      <c r="G747" s="319">
        <f t="shared" si="743"/>
        <v>18150</v>
      </c>
      <c r="H747" s="132"/>
    </row>
    <row r="748" spans="1:8" s="290" customFormat="1" outlineLevel="3">
      <c r="A748" s="382"/>
      <c r="B748" s="382"/>
      <c r="C748" s="409">
        <v>2210807</v>
      </c>
      <c r="D748" s="410" t="s">
        <v>170</v>
      </c>
      <c r="E748" s="411">
        <v>10000</v>
      </c>
      <c r="F748" s="319">
        <f t="shared" ref="F748:G748" si="744">E748*1.1</f>
        <v>11000</v>
      </c>
      <c r="G748" s="319">
        <f t="shared" si="744"/>
        <v>12100.000000000002</v>
      </c>
      <c r="H748" s="132"/>
    </row>
    <row r="749" spans="1:8" s="290" customFormat="1" outlineLevel="3">
      <c r="A749" s="382"/>
      <c r="B749" s="382"/>
      <c r="C749" s="406">
        <v>2210900</v>
      </c>
      <c r="D749" s="407" t="s">
        <v>45</v>
      </c>
      <c r="E749" s="408">
        <f>E750+E751</f>
        <v>125000</v>
      </c>
      <c r="F749" s="319">
        <f t="shared" ref="F749:G749" si="745">E749*1.1</f>
        <v>137500</v>
      </c>
      <c r="G749" s="319">
        <f t="shared" si="745"/>
        <v>151250</v>
      </c>
      <c r="H749" s="132"/>
    </row>
    <row r="750" spans="1:8" s="290" customFormat="1" outlineLevel="3">
      <c r="A750" s="382"/>
      <c r="B750" s="382"/>
      <c r="C750" s="409">
        <v>2210903</v>
      </c>
      <c r="D750" s="410" t="s">
        <v>171</v>
      </c>
      <c r="E750" s="411">
        <v>60000</v>
      </c>
      <c r="F750" s="319">
        <f t="shared" ref="F750:G750" si="746">E750*1.1</f>
        <v>66000</v>
      </c>
      <c r="G750" s="319">
        <f t="shared" si="746"/>
        <v>72600</v>
      </c>
      <c r="H750" s="132"/>
    </row>
    <row r="751" spans="1:8" s="290" customFormat="1" outlineLevel="3">
      <c r="A751" s="382"/>
      <c r="B751" s="382"/>
      <c r="C751" s="409">
        <v>2210904</v>
      </c>
      <c r="D751" s="410" t="s">
        <v>172</v>
      </c>
      <c r="E751" s="411">
        <v>65000</v>
      </c>
      <c r="F751" s="319">
        <f t="shared" ref="F751:G751" si="747">E751*1.1</f>
        <v>71500</v>
      </c>
      <c r="G751" s="319">
        <f t="shared" si="747"/>
        <v>78650</v>
      </c>
      <c r="H751" s="132"/>
    </row>
    <row r="752" spans="1:8" s="290" customFormat="1" outlineLevel="3">
      <c r="A752" s="382"/>
      <c r="B752" s="382"/>
      <c r="C752" s="406">
        <v>2211000</v>
      </c>
      <c r="D752" s="407" t="s">
        <v>173</v>
      </c>
      <c r="E752" s="408">
        <f>E753+E754</f>
        <v>2150000</v>
      </c>
      <c r="F752" s="319">
        <f t="shared" ref="F752:G752" si="748">E752*1.1</f>
        <v>2365000</v>
      </c>
      <c r="G752" s="319">
        <f t="shared" si="748"/>
        <v>2601500</v>
      </c>
      <c r="H752" s="132"/>
    </row>
    <row r="753" spans="1:8" s="290" customFormat="1" ht="30" outlineLevel="3">
      <c r="A753" s="382"/>
      <c r="B753" s="382"/>
      <c r="C753" s="409">
        <v>2211016</v>
      </c>
      <c r="D753" s="410" t="s">
        <v>174</v>
      </c>
      <c r="E753" s="411">
        <v>2120000</v>
      </c>
      <c r="F753" s="319">
        <f t="shared" ref="F753:G753" si="749">E753*1.1</f>
        <v>2332000</v>
      </c>
      <c r="G753" s="319">
        <f t="shared" si="749"/>
        <v>2565200</v>
      </c>
      <c r="H753" s="132"/>
    </row>
    <row r="754" spans="1:8" s="290" customFormat="1" outlineLevel="3">
      <c r="A754" s="382"/>
      <c r="B754" s="382"/>
      <c r="C754" s="409">
        <v>2211031</v>
      </c>
      <c r="D754" s="410" t="s">
        <v>175</v>
      </c>
      <c r="E754" s="411">
        <v>30000</v>
      </c>
      <c r="F754" s="319">
        <f t="shared" ref="F754:G754" si="750">E754*1.1</f>
        <v>33000</v>
      </c>
      <c r="G754" s="319">
        <f t="shared" si="750"/>
        <v>36300</v>
      </c>
      <c r="H754" s="132"/>
    </row>
    <row r="755" spans="1:8" s="290" customFormat="1" outlineLevel="3">
      <c r="A755" s="382"/>
      <c r="B755" s="382"/>
      <c r="C755" s="406">
        <v>2211100</v>
      </c>
      <c r="D755" s="407" t="s">
        <v>49</v>
      </c>
      <c r="E755" s="408">
        <f>E756+E757+E758</f>
        <v>2385000</v>
      </c>
      <c r="F755" s="319">
        <f t="shared" ref="F755:G755" si="751">E755*1.1</f>
        <v>2623500</v>
      </c>
      <c r="G755" s="319">
        <f t="shared" si="751"/>
        <v>2885850.0000000005</v>
      </c>
      <c r="H755" s="132"/>
    </row>
    <row r="756" spans="1:8" s="290" customFormat="1" ht="30" outlineLevel="3">
      <c r="A756" s="382"/>
      <c r="B756" s="382"/>
      <c r="C756" s="409">
        <v>2211101</v>
      </c>
      <c r="D756" s="410" t="s">
        <v>176</v>
      </c>
      <c r="E756" s="411">
        <v>815000</v>
      </c>
      <c r="F756" s="319">
        <f t="shared" ref="F756:G756" si="752">E756*1.1</f>
        <v>896500.00000000012</v>
      </c>
      <c r="G756" s="319">
        <f t="shared" si="752"/>
        <v>986150.00000000023</v>
      </c>
      <c r="H756" s="132"/>
    </row>
    <row r="757" spans="1:8" s="290" customFormat="1" outlineLevel="3">
      <c r="A757" s="382"/>
      <c r="B757" s="382"/>
      <c r="C757" s="409">
        <v>2211102</v>
      </c>
      <c r="D757" s="410" t="s">
        <v>51</v>
      </c>
      <c r="E757" s="411">
        <v>870000</v>
      </c>
      <c r="F757" s="319">
        <f t="shared" ref="F757:G757" si="753">E757*1.1</f>
        <v>957000.00000000012</v>
      </c>
      <c r="G757" s="319">
        <f t="shared" si="753"/>
        <v>1052700.0000000002</v>
      </c>
      <c r="H757" s="132"/>
    </row>
    <row r="758" spans="1:8" s="290" customFormat="1" outlineLevel="3">
      <c r="A758" s="382"/>
      <c r="B758" s="382"/>
      <c r="C758" s="409">
        <v>2211103</v>
      </c>
      <c r="D758" s="410" t="s">
        <v>52</v>
      </c>
      <c r="E758" s="411">
        <v>700000</v>
      </c>
      <c r="F758" s="319">
        <f t="shared" ref="F758:G758" si="754">E758*1.1</f>
        <v>770000.00000000012</v>
      </c>
      <c r="G758" s="319">
        <f t="shared" si="754"/>
        <v>847000.00000000023</v>
      </c>
      <c r="H758" s="132"/>
    </row>
    <row r="759" spans="1:8" s="290" customFormat="1" outlineLevel="3">
      <c r="A759" s="382"/>
      <c r="B759" s="382"/>
      <c r="C759" s="406">
        <v>2211200</v>
      </c>
      <c r="D759" s="407" t="s">
        <v>53</v>
      </c>
      <c r="E759" s="408">
        <f>E760</f>
        <v>3000000</v>
      </c>
      <c r="F759" s="319">
        <f t="shared" ref="F759:G759" si="755">E759*1.1</f>
        <v>3300000.0000000005</v>
      </c>
      <c r="G759" s="319">
        <f t="shared" si="755"/>
        <v>3630000.0000000009</v>
      </c>
      <c r="H759" s="132"/>
    </row>
    <row r="760" spans="1:8" s="290" customFormat="1" ht="45" outlineLevel="3">
      <c r="A760" s="382"/>
      <c r="B760" s="382"/>
      <c r="C760" s="409">
        <v>2211201</v>
      </c>
      <c r="D760" s="410" t="s">
        <v>177</v>
      </c>
      <c r="E760" s="412">
        <v>3000000</v>
      </c>
      <c r="F760" s="319">
        <f t="shared" ref="F760:G760" si="756">E760*1.1</f>
        <v>3300000.0000000005</v>
      </c>
      <c r="G760" s="319">
        <f t="shared" si="756"/>
        <v>3630000.0000000009</v>
      </c>
      <c r="H760" s="132"/>
    </row>
    <row r="761" spans="1:8" s="290" customFormat="1" outlineLevel="3">
      <c r="A761" s="382"/>
      <c r="B761" s="382"/>
      <c r="C761" s="413" t="s">
        <v>178</v>
      </c>
      <c r="D761" s="414" t="s">
        <v>55</v>
      </c>
      <c r="E761" s="408">
        <f>E762</f>
        <v>701909</v>
      </c>
      <c r="F761" s="319">
        <f t="shared" ref="F761:G761" si="757">E761*1.1</f>
        <v>772099.9</v>
      </c>
      <c r="G761" s="319">
        <f t="shared" si="757"/>
        <v>849309.89000000013</v>
      </c>
      <c r="H761" s="132"/>
    </row>
    <row r="762" spans="1:8" s="290" customFormat="1" outlineLevel="3">
      <c r="A762" s="382"/>
      <c r="B762" s="382"/>
      <c r="C762" s="415">
        <v>2211399</v>
      </c>
      <c r="D762" s="416" t="s">
        <v>60</v>
      </c>
      <c r="E762" s="411">
        <v>701909</v>
      </c>
      <c r="F762" s="319">
        <f t="shared" ref="F762:G762" si="758">E762*1.1</f>
        <v>772099.9</v>
      </c>
      <c r="G762" s="319">
        <f t="shared" si="758"/>
        <v>849309.89000000013</v>
      </c>
      <c r="H762" s="132"/>
    </row>
    <row r="763" spans="1:8" s="290" customFormat="1" ht="30" outlineLevel="3">
      <c r="A763" s="382"/>
      <c r="B763" s="382"/>
      <c r="C763" s="406">
        <v>2220100</v>
      </c>
      <c r="D763" s="407" t="s">
        <v>61</v>
      </c>
      <c r="E763" s="408">
        <f>E764+E765</f>
        <v>2250000</v>
      </c>
      <c r="F763" s="319">
        <f t="shared" ref="F763:G763" si="759">E763*1.1</f>
        <v>2475000</v>
      </c>
      <c r="G763" s="319">
        <f t="shared" si="759"/>
        <v>2722500</v>
      </c>
      <c r="H763" s="132"/>
    </row>
    <row r="764" spans="1:8" s="290" customFormat="1" outlineLevel="3">
      <c r="A764" s="382"/>
      <c r="B764" s="382"/>
      <c r="C764" s="409">
        <v>2220101</v>
      </c>
      <c r="D764" s="410" t="s">
        <v>62</v>
      </c>
      <c r="E764" s="411">
        <v>1350000</v>
      </c>
      <c r="F764" s="319">
        <f t="shared" ref="F764:G764" si="760">E764*1.1</f>
        <v>1485000.0000000002</v>
      </c>
      <c r="G764" s="319">
        <f t="shared" si="760"/>
        <v>1633500.0000000005</v>
      </c>
      <c r="H764" s="132"/>
    </row>
    <row r="765" spans="1:8" s="290" customFormat="1" outlineLevel="3">
      <c r="A765" s="382"/>
      <c r="B765" s="382"/>
      <c r="C765" s="409">
        <v>2220105</v>
      </c>
      <c r="D765" s="410" t="s">
        <v>64</v>
      </c>
      <c r="E765" s="411">
        <v>900000</v>
      </c>
      <c r="F765" s="319">
        <f t="shared" ref="F765:G765" si="761">E765*1.1</f>
        <v>990000.00000000012</v>
      </c>
      <c r="G765" s="319">
        <f t="shared" si="761"/>
        <v>1089000.0000000002</v>
      </c>
      <c r="H765" s="132"/>
    </row>
    <row r="766" spans="1:8" s="290" customFormat="1" outlineLevel="3">
      <c r="A766" s="382"/>
      <c r="B766" s="382"/>
      <c r="C766" s="406">
        <v>2220200</v>
      </c>
      <c r="D766" s="407" t="s">
        <v>179</v>
      </c>
      <c r="E766" s="408">
        <f>E767+E768</f>
        <v>130000</v>
      </c>
      <c r="F766" s="319">
        <f t="shared" ref="F766:G766" si="762">E766*1.1</f>
        <v>143000</v>
      </c>
      <c r="G766" s="319">
        <f t="shared" si="762"/>
        <v>157300</v>
      </c>
      <c r="H766" s="132"/>
    </row>
    <row r="767" spans="1:8" s="290" customFormat="1" outlineLevel="3">
      <c r="A767" s="382"/>
      <c r="B767" s="382"/>
      <c r="C767" s="409">
        <v>2220205</v>
      </c>
      <c r="D767" s="410" t="s">
        <v>180</v>
      </c>
      <c r="E767" s="411">
        <v>70000</v>
      </c>
      <c r="F767" s="319">
        <f t="shared" ref="F767:G767" si="763">E767*1.1</f>
        <v>77000</v>
      </c>
      <c r="G767" s="319">
        <f t="shared" si="763"/>
        <v>84700</v>
      </c>
      <c r="H767" s="132"/>
    </row>
    <row r="768" spans="1:8" s="290" customFormat="1" outlineLevel="3">
      <c r="A768" s="382"/>
      <c r="B768" s="382"/>
      <c r="C768" s="409">
        <v>2220210</v>
      </c>
      <c r="D768" s="410" t="s">
        <v>181</v>
      </c>
      <c r="E768" s="411">
        <v>60000</v>
      </c>
      <c r="F768" s="319">
        <f t="shared" ref="F768:G770" si="764">E768*1.1</f>
        <v>66000</v>
      </c>
      <c r="G768" s="319">
        <f t="shared" si="764"/>
        <v>72600</v>
      </c>
      <c r="H768" s="132"/>
    </row>
    <row r="769" spans="1:9" s="290" customFormat="1" outlineLevel="2">
      <c r="A769" s="375"/>
      <c r="B769" s="375"/>
      <c r="C769" s="376">
        <v>3110700</v>
      </c>
      <c r="D769" s="699" t="s">
        <v>116</v>
      </c>
      <c r="E769" s="378">
        <f>E770</f>
        <v>7940000</v>
      </c>
      <c r="F769" s="319">
        <f t="shared" si="764"/>
        <v>8734000</v>
      </c>
      <c r="G769" s="319">
        <f t="shared" si="764"/>
        <v>9607400</v>
      </c>
      <c r="H769" s="132"/>
    </row>
    <row r="770" spans="1:9" s="739" customFormat="1" outlineLevel="2">
      <c r="A770" s="850"/>
      <c r="B770" s="850"/>
      <c r="C770" s="851">
        <v>3110701</v>
      </c>
      <c r="D770" s="852" t="s">
        <v>117</v>
      </c>
      <c r="E770" s="853">
        <v>7940000</v>
      </c>
      <c r="F770" s="854">
        <f t="shared" si="764"/>
        <v>8734000</v>
      </c>
      <c r="G770" s="854">
        <f t="shared" si="764"/>
        <v>9607400</v>
      </c>
      <c r="H770" s="855"/>
    </row>
    <row r="771" spans="1:9" s="290" customFormat="1" outlineLevel="3">
      <c r="A771" s="382"/>
      <c r="B771" s="382"/>
      <c r="C771" s="413">
        <v>3111000</v>
      </c>
      <c r="D771" s="414" t="s">
        <v>65</v>
      </c>
      <c r="E771" s="408">
        <f>E772+E773</f>
        <v>2800000</v>
      </c>
      <c r="F771" s="319">
        <f t="shared" ref="F771:G771" si="765">E771*1.1</f>
        <v>3080000.0000000005</v>
      </c>
      <c r="G771" s="319">
        <f t="shared" si="765"/>
        <v>3388000.0000000009</v>
      </c>
      <c r="H771" s="132"/>
    </row>
    <row r="772" spans="1:9" s="290" customFormat="1" outlineLevel="3">
      <c r="A772" s="382"/>
      <c r="B772" s="382"/>
      <c r="C772" s="415">
        <v>3111001</v>
      </c>
      <c r="D772" s="417" t="s">
        <v>66</v>
      </c>
      <c r="E772" s="411">
        <v>450000</v>
      </c>
      <c r="F772" s="319">
        <f t="shared" ref="F772:G772" si="766">E772*1.1</f>
        <v>495000.00000000006</v>
      </c>
      <c r="G772" s="319">
        <f t="shared" si="766"/>
        <v>544500.00000000012</v>
      </c>
      <c r="H772" s="132"/>
    </row>
    <row r="773" spans="1:9" s="290" customFormat="1" outlineLevel="3">
      <c r="A773" s="382"/>
      <c r="B773" s="382"/>
      <c r="C773" s="415">
        <v>3111002</v>
      </c>
      <c r="D773" s="371" t="s">
        <v>67</v>
      </c>
      <c r="E773" s="411">
        <v>2350000</v>
      </c>
      <c r="F773" s="319">
        <f t="shared" ref="F773:G773" si="767">E773*1.1</f>
        <v>2585000</v>
      </c>
      <c r="G773" s="319">
        <f t="shared" si="767"/>
        <v>2843500</v>
      </c>
      <c r="H773" s="132"/>
    </row>
    <row r="774" spans="1:9" s="290" customFormat="1" ht="30" outlineLevel="3">
      <c r="A774" s="382"/>
      <c r="B774" s="382"/>
      <c r="C774" s="413">
        <v>3111400</v>
      </c>
      <c r="D774" s="418" t="s">
        <v>68</v>
      </c>
      <c r="E774" s="419">
        <f>E775</f>
        <v>680000</v>
      </c>
      <c r="F774" s="319">
        <f t="shared" ref="F774:G774" si="768">E774*1.1</f>
        <v>748000.00000000012</v>
      </c>
      <c r="G774" s="319">
        <f t="shared" si="768"/>
        <v>822800.00000000023</v>
      </c>
      <c r="H774" s="132"/>
    </row>
    <row r="775" spans="1:9" s="290" customFormat="1" outlineLevel="3">
      <c r="A775" s="382"/>
      <c r="B775" s="382"/>
      <c r="C775" s="415">
        <v>3111402</v>
      </c>
      <c r="D775" s="420" t="s">
        <v>182</v>
      </c>
      <c r="E775" s="411">
        <v>680000</v>
      </c>
      <c r="F775" s="319">
        <f t="shared" ref="F775:G775" si="769">E775*1.1</f>
        <v>748000.00000000012</v>
      </c>
      <c r="G775" s="319">
        <f t="shared" si="769"/>
        <v>822800.00000000023</v>
      </c>
      <c r="H775" s="132"/>
    </row>
    <row r="776" spans="1:9" s="290" customFormat="1" outlineLevel="2">
      <c r="A776" s="382"/>
      <c r="B776" s="382"/>
      <c r="C776" s="421"/>
      <c r="D776" s="404" t="s">
        <v>183</v>
      </c>
      <c r="E776" s="422">
        <f>E774+E771+E766+E763+E761+E759+E755+E752+E749+E744+E737+E735+E730+E725+E721+E718+E716+E769</f>
        <v>79187542</v>
      </c>
      <c r="F776" s="319">
        <f t="shared" ref="F776:G776" si="770">E776*1.1</f>
        <v>87106296.200000003</v>
      </c>
      <c r="G776" s="319">
        <f t="shared" si="770"/>
        <v>95816925.820000008</v>
      </c>
      <c r="H776" s="132"/>
    </row>
    <row r="777" spans="1:9" s="290" customFormat="1" outlineLevel="2">
      <c r="A777" s="382"/>
      <c r="B777" s="382"/>
      <c r="C777" s="409"/>
      <c r="D777" s="410"/>
      <c r="E777" s="412"/>
      <c r="F777" s="319">
        <f t="shared" ref="F777:G777" si="771">E777*1.1</f>
        <v>0</v>
      </c>
      <c r="G777" s="319">
        <f t="shared" si="771"/>
        <v>0</v>
      </c>
      <c r="H777" s="132"/>
    </row>
    <row r="778" spans="1:9" s="290" customFormat="1" outlineLevel="2">
      <c r="A778" s="382"/>
      <c r="B778" s="382"/>
      <c r="C778" s="409"/>
      <c r="D778" s="407" t="s">
        <v>184</v>
      </c>
      <c r="E778" s="412"/>
      <c r="F778" s="319">
        <f t="shared" ref="F778:G778" si="772">E778*1.1</f>
        <v>0</v>
      </c>
      <c r="G778" s="319">
        <f t="shared" si="772"/>
        <v>0</v>
      </c>
      <c r="H778" s="132"/>
    </row>
    <row r="779" spans="1:9" s="290" customFormat="1" outlineLevel="3">
      <c r="A779" s="382"/>
      <c r="B779" s="382"/>
      <c r="C779" s="406">
        <v>3110200</v>
      </c>
      <c r="D779" s="407" t="s">
        <v>185</v>
      </c>
      <c r="E779" s="423">
        <f>E780+E781</f>
        <v>35779423.525239944</v>
      </c>
      <c r="F779" s="319">
        <f t="shared" ref="F779:G779" si="773">E779*1.1</f>
        <v>39357365.877763942</v>
      </c>
      <c r="G779" s="319">
        <f t="shared" si="773"/>
        <v>43293102.465540342</v>
      </c>
      <c r="H779" s="132"/>
    </row>
    <row r="780" spans="1:9" s="290" customFormat="1" ht="30" outlineLevel="3">
      <c r="A780" s="382"/>
      <c r="B780" s="382"/>
      <c r="C780" s="409">
        <v>3110202</v>
      </c>
      <c r="D780" s="410" t="s">
        <v>186</v>
      </c>
      <c r="E780" s="412">
        <v>9445850</v>
      </c>
      <c r="F780" s="319">
        <f t="shared" ref="F780:G780" si="774">E780*1.1</f>
        <v>10390435</v>
      </c>
      <c r="G780" s="319">
        <f t="shared" si="774"/>
        <v>11429478.5</v>
      </c>
      <c r="H780" s="132">
        <v>12885850</v>
      </c>
      <c r="I780" s="847">
        <f t="shared" ref="I780:I781" si="775">H780-E780</f>
        <v>3440000</v>
      </c>
    </row>
    <row r="781" spans="1:9" s="290" customFormat="1" ht="30" outlineLevel="3">
      <c r="A781" s="382"/>
      <c r="B781" s="382"/>
      <c r="C781" s="415" t="s">
        <v>187</v>
      </c>
      <c r="D781" s="424" t="s">
        <v>188</v>
      </c>
      <c r="E781" s="425">
        <v>26333573.525239944</v>
      </c>
      <c r="F781" s="319">
        <f t="shared" ref="F781:G781" si="776">E781*1.1</f>
        <v>28966930.877763942</v>
      </c>
      <c r="G781" s="319">
        <f t="shared" si="776"/>
        <v>31863623.965540338</v>
      </c>
      <c r="H781" s="132">
        <v>30833576</v>
      </c>
      <c r="I781" s="847">
        <f t="shared" si="775"/>
        <v>4500002.4747600555</v>
      </c>
    </row>
    <row r="782" spans="1:9" s="290" customFormat="1" outlineLevel="2">
      <c r="A782" s="382"/>
      <c r="B782" s="382"/>
      <c r="C782" s="401"/>
      <c r="D782" s="404" t="s">
        <v>189</v>
      </c>
      <c r="E782" s="422">
        <f>E779</f>
        <v>35779423.525239944</v>
      </c>
      <c r="F782" s="319">
        <f t="shared" ref="F782:G782" si="777">E782*1.1</f>
        <v>39357365.877763942</v>
      </c>
      <c r="G782" s="319">
        <f t="shared" si="777"/>
        <v>43293102.465540342</v>
      </c>
      <c r="H782" s="132"/>
      <c r="I782" s="848">
        <f>SUM(I780:I781)</f>
        <v>7940002.4747600555</v>
      </c>
    </row>
    <row r="783" spans="1:9" s="290" customFormat="1" outlineLevel="1">
      <c r="A783" s="382"/>
      <c r="B783" s="382"/>
      <c r="C783" s="401"/>
      <c r="D783" s="404" t="s">
        <v>80</v>
      </c>
      <c r="E783" s="422">
        <f>E782+E776</f>
        <v>114966965.52523994</v>
      </c>
      <c r="F783" s="319">
        <f t="shared" ref="F783:G783" si="778">E783*1.1</f>
        <v>126463662.07776394</v>
      </c>
      <c r="G783" s="319">
        <f t="shared" si="778"/>
        <v>139110028.28554034</v>
      </c>
      <c r="H783" s="132"/>
    </row>
    <row r="784" spans="1:9" s="290" customFormat="1" outlineLevel="1">
      <c r="A784" s="382"/>
      <c r="B784" s="382"/>
      <c r="C784" s="409"/>
      <c r="D784" s="410"/>
      <c r="E784" s="412"/>
      <c r="F784" s="319">
        <f t="shared" ref="F784:G784" si="779">E784*1.1</f>
        <v>0</v>
      </c>
      <c r="G784" s="319">
        <f t="shared" si="779"/>
        <v>0</v>
      </c>
      <c r="H784" s="132"/>
    </row>
    <row r="785" spans="1:8" s="290" customFormat="1" outlineLevel="1">
      <c r="A785" s="382"/>
      <c r="B785" s="382"/>
      <c r="C785" s="401" t="s">
        <v>190</v>
      </c>
      <c r="D785" s="404"/>
      <c r="E785" s="405"/>
      <c r="F785" s="319">
        <f t="shared" ref="F785:G785" si="780">E785*1.1</f>
        <v>0</v>
      </c>
      <c r="G785" s="319">
        <f t="shared" si="780"/>
        <v>0</v>
      </c>
      <c r="H785" s="132"/>
    </row>
    <row r="786" spans="1:8" s="290" customFormat="1" outlineLevel="1">
      <c r="A786" s="382"/>
      <c r="B786" s="382"/>
      <c r="C786" s="421" t="s">
        <v>191</v>
      </c>
      <c r="D786" s="426"/>
      <c r="E786" s="403"/>
      <c r="F786" s="319">
        <f t="shared" ref="F786:G786" si="781">E786*1.1</f>
        <v>0</v>
      </c>
      <c r="G786" s="319">
        <f t="shared" si="781"/>
        <v>0</v>
      </c>
      <c r="H786" s="132"/>
    </row>
    <row r="787" spans="1:8" s="290" customFormat="1" outlineLevel="2">
      <c r="A787" s="382"/>
      <c r="B787" s="382"/>
      <c r="C787" s="406">
        <v>2210100</v>
      </c>
      <c r="D787" s="407" t="s">
        <v>16</v>
      </c>
      <c r="E787" s="408">
        <f>E788+E789</f>
        <v>99700</v>
      </c>
      <c r="F787" s="319">
        <f t="shared" ref="F787:G787" si="782">E787*1.1</f>
        <v>109670.00000000001</v>
      </c>
      <c r="G787" s="319">
        <f t="shared" si="782"/>
        <v>120637.00000000003</v>
      </c>
      <c r="H787" s="132"/>
    </row>
    <row r="788" spans="1:8" s="290" customFormat="1" outlineLevel="2">
      <c r="A788" s="382"/>
      <c r="B788" s="382"/>
      <c r="C788" s="409">
        <v>2210101</v>
      </c>
      <c r="D788" s="410" t="s">
        <v>17</v>
      </c>
      <c r="E788" s="411">
        <v>50200</v>
      </c>
      <c r="F788" s="319">
        <f t="shared" ref="F788:G788" si="783">E788*1.1</f>
        <v>55220.000000000007</v>
      </c>
      <c r="G788" s="319">
        <f t="shared" si="783"/>
        <v>60742.000000000015</v>
      </c>
      <c r="H788" s="132"/>
    </row>
    <row r="789" spans="1:8" s="290" customFormat="1" outlineLevel="2">
      <c r="A789" s="382"/>
      <c r="B789" s="382"/>
      <c r="C789" s="409">
        <v>2210102</v>
      </c>
      <c r="D789" s="410" t="s">
        <v>18</v>
      </c>
      <c r="E789" s="411">
        <v>49500</v>
      </c>
      <c r="F789" s="319">
        <f t="shared" ref="F789:G789" si="784">E789*1.1</f>
        <v>54450.000000000007</v>
      </c>
      <c r="G789" s="319">
        <f t="shared" si="784"/>
        <v>59895.000000000015</v>
      </c>
      <c r="H789" s="132"/>
    </row>
    <row r="790" spans="1:8" s="290" customFormat="1" outlineLevel="2">
      <c r="A790" s="382"/>
      <c r="B790" s="382"/>
      <c r="C790" s="406">
        <v>2210200</v>
      </c>
      <c r="D790" s="407" t="s">
        <v>19</v>
      </c>
      <c r="E790" s="408">
        <f>SUM(E791:E792)</f>
        <v>1200000</v>
      </c>
      <c r="F790" s="319">
        <f t="shared" ref="F790:G790" si="785">E790*1.1</f>
        <v>1320000</v>
      </c>
      <c r="G790" s="319">
        <f t="shared" si="785"/>
        <v>1452000.0000000002</v>
      </c>
      <c r="H790" s="132"/>
    </row>
    <row r="791" spans="1:8" s="290" customFormat="1" outlineLevel="2">
      <c r="A791" s="382"/>
      <c r="B791" s="382"/>
      <c r="C791" s="409">
        <v>2210201</v>
      </c>
      <c r="D791" s="410" t="s">
        <v>158</v>
      </c>
      <c r="E791" s="411">
        <v>1195000</v>
      </c>
      <c r="F791" s="319">
        <f t="shared" ref="F791:G791" si="786">E791*1.1</f>
        <v>1314500</v>
      </c>
      <c r="G791" s="319">
        <f t="shared" si="786"/>
        <v>1445950.0000000002</v>
      </c>
      <c r="H791" s="132"/>
    </row>
    <row r="792" spans="1:8" s="290" customFormat="1" outlineLevel="2">
      <c r="A792" s="382"/>
      <c r="B792" s="382"/>
      <c r="C792" s="409">
        <v>2210103</v>
      </c>
      <c r="D792" s="410" t="s">
        <v>22</v>
      </c>
      <c r="E792" s="411">
        <v>5000</v>
      </c>
      <c r="F792" s="319">
        <f t="shared" ref="F792:G792" si="787">E792*1.1</f>
        <v>5500</v>
      </c>
      <c r="G792" s="319">
        <f t="shared" si="787"/>
        <v>6050.0000000000009</v>
      </c>
      <c r="H792" s="132"/>
    </row>
    <row r="793" spans="1:8" s="290" customFormat="1" ht="30" outlineLevel="2">
      <c r="A793" s="382"/>
      <c r="B793" s="382"/>
      <c r="C793" s="406">
        <v>2210300</v>
      </c>
      <c r="D793" s="407" t="s">
        <v>23</v>
      </c>
      <c r="E793" s="408">
        <f>SUM(E794:E797)</f>
        <v>6500000</v>
      </c>
      <c r="F793" s="319">
        <f t="shared" ref="F793:G793" si="788">E793*1.1</f>
        <v>7150000.0000000009</v>
      </c>
      <c r="G793" s="319">
        <f t="shared" si="788"/>
        <v>7865000.0000000019</v>
      </c>
      <c r="H793" s="132"/>
    </row>
    <row r="794" spans="1:8" s="290" customFormat="1" outlineLevel="2">
      <c r="A794" s="382"/>
      <c r="B794" s="382"/>
      <c r="C794" s="409">
        <v>2210301</v>
      </c>
      <c r="D794" s="410" t="s">
        <v>24</v>
      </c>
      <c r="E794" s="411">
        <v>1850000</v>
      </c>
      <c r="F794" s="319">
        <f t="shared" ref="F794:G794" si="789">E794*1.1</f>
        <v>2035000.0000000002</v>
      </c>
      <c r="G794" s="319">
        <f t="shared" si="789"/>
        <v>2238500.0000000005</v>
      </c>
      <c r="H794" s="132"/>
    </row>
    <row r="795" spans="1:8" s="290" customFormat="1" outlineLevel="2">
      <c r="A795" s="382"/>
      <c r="B795" s="382"/>
      <c r="C795" s="409">
        <v>2210302</v>
      </c>
      <c r="D795" s="410" t="s">
        <v>25</v>
      </c>
      <c r="E795" s="411">
        <v>2370000</v>
      </c>
      <c r="F795" s="319">
        <f t="shared" ref="F795:G795" si="790">E795*1.1</f>
        <v>2607000</v>
      </c>
      <c r="G795" s="319">
        <f t="shared" si="790"/>
        <v>2867700</v>
      </c>
      <c r="H795" s="132"/>
    </row>
    <row r="796" spans="1:8" s="290" customFormat="1" outlineLevel="2">
      <c r="A796" s="382"/>
      <c r="B796" s="382"/>
      <c r="C796" s="409">
        <v>2210303</v>
      </c>
      <c r="D796" s="410" t="s">
        <v>26</v>
      </c>
      <c r="E796" s="411">
        <v>2230000</v>
      </c>
      <c r="F796" s="319">
        <f t="shared" ref="F796:G796" si="791">E796*1.1</f>
        <v>2453000</v>
      </c>
      <c r="G796" s="319">
        <f t="shared" si="791"/>
        <v>2698300</v>
      </c>
      <c r="H796" s="132"/>
    </row>
    <row r="797" spans="1:8" s="290" customFormat="1" outlineLevel="2">
      <c r="A797" s="382"/>
      <c r="B797" s="382"/>
      <c r="C797" s="409">
        <v>2210304</v>
      </c>
      <c r="D797" s="410" t="s">
        <v>27</v>
      </c>
      <c r="E797" s="411">
        <v>50000</v>
      </c>
      <c r="F797" s="319">
        <f t="shared" ref="F797:G797" si="792">E797*1.1</f>
        <v>55000.000000000007</v>
      </c>
      <c r="G797" s="319">
        <f t="shared" si="792"/>
        <v>60500.000000000015</v>
      </c>
      <c r="H797" s="132"/>
    </row>
    <row r="798" spans="1:8" s="290" customFormat="1" outlineLevel="2">
      <c r="A798" s="382"/>
      <c r="B798" s="382"/>
      <c r="C798" s="406">
        <v>2210500</v>
      </c>
      <c r="D798" s="407" t="s">
        <v>30</v>
      </c>
      <c r="E798" s="408">
        <f>SUM(E799:E801)</f>
        <v>4290000</v>
      </c>
      <c r="F798" s="319">
        <f t="shared" ref="F798:G798" si="793">E798*1.1</f>
        <v>4719000</v>
      </c>
      <c r="G798" s="319">
        <f t="shared" si="793"/>
        <v>5190900</v>
      </c>
      <c r="H798" s="132"/>
    </row>
    <row r="799" spans="1:8" s="290" customFormat="1" outlineLevel="2">
      <c r="A799" s="382"/>
      <c r="B799" s="382"/>
      <c r="C799" s="409">
        <v>2210502</v>
      </c>
      <c r="D799" s="410" t="s">
        <v>162</v>
      </c>
      <c r="E799" s="411">
        <v>160000</v>
      </c>
      <c r="F799" s="319">
        <f t="shared" ref="F799:G799" si="794">E799*1.1</f>
        <v>176000</v>
      </c>
      <c r="G799" s="319">
        <f t="shared" si="794"/>
        <v>193600.00000000003</v>
      </c>
      <c r="H799" s="132"/>
    </row>
    <row r="800" spans="1:8" s="290" customFormat="1" outlineLevel="2">
      <c r="A800" s="382"/>
      <c r="B800" s="382"/>
      <c r="C800" s="409">
        <v>2210503</v>
      </c>
      <c r="D800" s="410" t="s">
        <v>31</v>
      </c>
      <c r="E800" s="411">
        <v>160000</v>
      </c>
      <c r="F800" s="319">
        <f t="shared" ref="F800:G800" si="795">E800*1.1</f>
        <v>176000</v>
      </c>
      <c r="G800" s="319">
        <f t="shared" si="795"/>
        <v>193600.00000000003</v>
      </c>
      <c r="H800" s="132"/>
    </row>
    <row r="801" spans="1:8" s="290" customFormat="1" outlineLevel="2">
      <c r="A801" s="382"/>
      <c r="B801" s="382"/>
      <c r="C801" s="409">
        <v>2210504</v>
      </c>
      <c r="D801" s="410" t="s">
        <v>192</v>
      </c>
      <c r="E801" s="411">
        <v>3970000</v>
      </c>
      <c r="F801" s="319">
        <f t="shared" ref="F801:G801" si="796">E801*1.1</f>
        <v>4367000</v>
      </c>
      <c r="G801" s="319">
        <f t="shared" si="796"/>
        <v>4803700</v>
      </c>
      <c r="H801" s="132"/>
    </row>
    <row r="802" spans="1:8" s="290" customFormat="1" outlineLevel="2">
      <c r="A802" s="382"/>
      <c r="B802" s="382"/>
      <c r="C802" s="406">
        <v>2210700</v>
      </c>
      <c r="D802" s="407" t="s">
        <v>165</v>
      </c>
      <c r="E802" s="408">
        <f>SUM(E803:E808)</f>
        <v>3175000</v>
      </c>
      <c r="F802" s="319">
        <f t="shared" ref="F802:G802" si="797">E802*1.1</f>
        <v>3492500.0000000005</v>
      </c>
      <c r="G802" s="319">
        <f t="shared" si="797"/>
        <v>3841750.0000000009</v>
      </c>
      <c r="H802" s="132"/>
    </row>
    <row r="803" spans="1:8" s="290" customFormat="1" outlineLevel="2">
      <c r="A803" s="382"/>
      <c r="B803" s="382"/>
      <c r="C803" s="409">
        <v>2210701</v>
      </c>
      <c r="D803" s="410" t="s">
        <v>35</v>
      </c>
      <c r="E803" s="411">
        <v>230000</v>
      </c>
      <c r="F803" s="319">
        <f t="shared" ref="F803:G803" si="798">E803*1.1</f>
        <v>253000.00000000003</v>
      </c>
      <c r="G803" s="319">
        <f t="shared" si="798"/>
        <v>278300.00000000006</v>
      </c>
      <c r="H803" s="132"/>
    </row>
    <row r="804" spans="1:8" s="290" customFormat="1" outlineLevel="2">
      <c r="A804" s="382"/>
      <c r="B804" s="382"/>
      <c r="C804" s="409">
        <v>2210703</v>
      </c>
      <c r="D804" s="410" t="s">
        <v>166</v>
      </c>
      <c r="E804" s="411">
        <v>120000</v>
      </c>
      <c r="F804" s="319">
        <f t="shared" ref="F804:G804" si="799">E804*1.1</f>
        <v>132000</v>
      </c>
      <c r="G804" s="319">
        <f t="shared" si="799"/>
        <v>145200</v>
      </c>
      <c r="H804" s="132"/>
    </row>
    <row r="805" spans="1:8" s="290" customFormat="1" outlineLevel="2">
      <c r="A805" s="382"/>
      <c r="B805" s="382"/>
      <c r="C805" s="409">
        <v>2210704</v>
      </c>
      <c r="D805" s="410" t="s">
        <v>37</v>
      </c>
      <c r="E805" s="411">
        <v>50000</v>
      </c>
      <c r="F805" s="319">
        <f t="shared" ref="F805:G805" si="800">E805*1.1</f>
        <v>55000.000000000007</v>
      </c>
      <c r="G805" s="319">
        <f t="shared" si="800"/>
        <v>60500.000000000015</v>
      </c>
      <c r="H805" s="132"/>
    </row>
    <row r="806" spans="1:8" s="290" customFormat="1" outlineLevel="2">
      <c r="A806" s="382"/>
      <c r="B806" s="382"/>
      <c r="C806" s="409">
        <v>2210708</v>
      </c>
      <c r="D806" s="410" t="s">
        <v>193</v>
      </c>
      <c r="E806" s="411">
        <v>220000</v>
      </c>
      <c r="F806" s="319">
        <f t="shared" ref="F806:G806" si="801">E806*1.1</f>
        <v>242000.00000000003</v>
      </c>
      <c r="G806" s="319">
        <f t="shared" si="801"/>
        <v>266200.00000000006</v>
      </c>
      <c r="H806" s="132"/>
    </row>
    <row r="807" spans="1:8" s="290" customFormat="1" outlineLevel="2">
      <c r="A807" s="382"/>
      <c r="B807" s="382"/>
      <c r="C807" s="409">
        <v>2210710</v>
      </c>
      <c r="D807" s="410" t="s">
        <v>38</v>
      </c>
      <c r="E807" s="411">
        <v>130000</v>
      </c>
      <c r="F807" s="319">
        <f t="shared" ref="F807:G807" si="802">E807*1.1</f>
        <v>143000</v>
      </c>
      <c r="G807" s="319">
        <f t="shared" si="802"/>
        <v>157300</v>
      </c>
      <c r="H807" s="132"/>
    </row>
    <row r="808" spans="1:8" s="290" customFormat="1" outlineLevel="2">
      <c r="A808" s="382"/>
      <c r="B808" s="382"/>
      <c r="C808" s="409">
        <v>2210715</v>
      </c>
      <c r="D808" s="410" t="s">
        <v>194</v>
      </c>
      <c r="E808" s="427">
        <v>2425000</v>
      </c>
      <c r="F808" s="319">
        <f t="shared" ref="F808:G808" si="803">E808*1.1</f>
        <v>2667500</v>
      </c>
      <c r="G808" s="319">
        <f t="shared" si="803"/>
        <v>2934250.0000000005</v>
      </c>
      <c r="H808" s="132"/>
    </row>
    <row r="809" spans="1:8" s="290" customFormat="1" outlineLevel="2">
      <c r="A809" s="382"/>
      <c r="B809" s="382"/>
      <c r="C809" s="406">
        <v>2210800</v>
      </c>
      <c r="D809" s="407" t="s">
        <v>41</v>
      </c>
      <c r="E809" s="408">
        <f>SUM(E810:E813)</f>
        <v>1760000</v>
      </c>
      <c r="F809" s="319">
        <f t="shared" ref="F809:G809" si="804">E809*1.1</f>
        <v>1936000.0000000002</v>
      </c>
      <c r="G809" s="319">
        <f t="shared" si="804"/>
        <v>2129600.0000000005</v>
      </c>
      <c r="H809" s="132"/>
    </row>
    <row r="810" spans="1:8" s="290" customFormat="1" ht="30" outlineLevel="2">
      <c r="A810" s="382"/>
      <c r="B810" s="382"/>
      <c r="C810" s="409">
        <v>2210801</v>
      </c>
      <c r="D810" s="410" t="s">
        <v>85</v>
      </c>
      <c r="E810" s="411">
        <v>860000</v>
      </c>
      <c r="F810" s="319">
        <f t="shared" ref="F810:G810" si="805">E810*1.1</f>
        <v>946000.00000000012</v>
      </c>
      <c r="G810" s="319">
        <f t="shared" si="805"/>
        <v>1040600.0000000002</v>
      </c>
      <c r="H810" s="132"/>
    </row>
    <row r="811" spans="1:8" s="290" customFormat="1" outlineLevel="2">
      <c r="A811" s="382"/>
      <c r="B811" s="382"/>
      <c r="C811" s="409">
        <v>2210802</v>
      </c>
      <c r="D811" s="410" t="s">
        <v>86</v>
      </c>
      <c r="E811" s="411">
        <v>850000</v>
      </c>
      <c r="F811" s="319">
        <f t="shared" ref="F811:G811" si="806">E811*1.1</f>
        <v>935000.00000000012</v>
      </c>
      <c r="G811" s="319">
        <f t="shared" si="806"/>
        <v>1028500.0000000002</v>
      </c>
      <c r="H811" s="132"/>
    </row>
    <row r="812" spans="1:8" s="290" customFormat="1" outlineLevel="2">
      <c r="A812" s="382"/>
      <c r="B812" s="382"/>
      <c r="C812" s="409">
        <v>2210805</v>
      </c>
      <c r="D812" s="410" t="s">
        <v>169</v>
      </c>
      <c r="E812" s="411">
        <v>40000</v>
      </c>
      <c r="F812" s="319">
        <f t="shared" ref="F812:G812" si="807">E812*1.1</f>
        <v>44000</v>
      </c>
      <c r="G812" s="319">
        <f t="shared" si="807"/>
        <v>48400.000000000007</v>
      </c>
      <c r="H812" s="132"/>
    </row>
    <row r="813" spans="1:8" s="290" customFormat="1" outlineLevel="2">
      <c r="A813" s="382"/>
      <c r="B813" s="382"/>
      <c r="C813" s="409">
        <v>2210807</v>
      </c>
      <c r="D813" s="410" t="s">
        <v>170</v>
      </c>
      <c r="E813" s="411">
        <v>10000</v>
      </c>
      <c r="F813" s="319">
        <f t="shared" ref="F813:G813" si="808">E813*1.1</f>
        <v>11000</v>
      </c>
      <c r="G813" s="319">
        <f t="shared" si="808"/>
        <v>12100.000000000002</v>
      </c>
      <c r="H813" s="132"/>
    </row>
    <row r="814" spans="1:8" s="290" customFormat="1" outlineLevel="2">
      <c r="A814" s="382"/>
      <c r="B814" s="382"/>
      <c r="C814" s="406">
        <v>2211100</v>
      </c>
      <c r="D814" s="407" t="s">
        <v>49</v>
      </c>
      <c r="E814" s="408">
        <f>SUM(E815:E817)</f>
        <v>2380000</v>
      </c>
      <c r="F814" s="319">
        <f t="shared" ref="F814:G814" si="809">E814*1.1</f>
        <v>2618000</v>
      </c>
      <c r="G814" s="319">
        <f t="shared" si="809"/>
        <v>2879800</v>
      </c>
      <c r="H814" s="132"/>
    </row>
    <row r="815" spans="1:8" s="290" customFormat="1" ht="30" outlineLevel="2">
      <c r="A815" s="382"/>
      <c r="B815" s="382"/>
      <c r="C815" s="409">
        <v>2211101</v>
      </c>
      <c r="D815" s="410" t="s">
        <v>195</v>
      </c>
      <c r="E815" s="411">
        <v>1030000</v>
      </c>
      <c r="F815" s="319">
        <f t="shared" ref="F815:G815" si="810">E815*1.1</f>
        <v>1133000</v>
      </c>
      <c r="G815" s="319">
        <f t="shared" si="810"/>
        <v>1246300</v>
      </c>
      <c r="H815" s="132"/>
    </row>
    <row r="816" spans="1:8" s="290" customFormat="1" outlineLevel="2">
      <c r="A816" s="382"/>
      <c r="B816" s="382"/>
      <c r="C816" s="409">
        <v>2211102</v>
      </c>
      <c r="D816" s="410" t="s">
        <v>51</v>
      </c>
      <c r="E816" s="411">
        <v>700000</v>
      </c>
      <c r="F816" s="319">
        <f t="shared" ref="F816:G816" si="811">E816*1.1</f>
        <v>770000.00000000012</v>
      </c>
      <c r="G816" s="319">
        <f t="shared" si="811"/>
        <v>847000.00000000023</v>
      </c>
      <c r="H816" s="132"/>
    </row>
    <row r="817" spans="1:8" s="290" customFormat="1" outlineLevel="2">
      <c r="A817" s="382"/>
      <c r="B817" s="382"/>
      <c r="C817" s="409">
        <v>2211103</v>
      </c>
      <c r="D817" s="410" t="s">
        <v>52</v>
      </c>
      <c r="E817" s="411">
        <v>650000</v>
      </c>
      <c r="F817" s="319">
        <f t="shared" ref="F817:G817" si="812">E817*1.1</f>
        <v>715000</v>
      </c>
      <c r="G817" s="319">
        <f t="shared" si="812"/>
        <v>786500.00000000012</v>
      </c>
      <c r="H817" s="132"/>
    </row>
    <row r="818" spans="1:8" s="290" customFormat="1" outlineLevel="2">
      <c r="A818" s="382"/>
      <c r="B818" s="382"/>
      <c r="C818" s="406">
        <v>2211200</v>
      </c>
      <c r="D818" s="407" t="s">
        <v>53</v>
      </c>
      <c r="E818" s="428">
        <f>E819</f>
        <v>2400000</v>
      </c>
      <c r="F818" s="319">
        <f t="shared" ref="F818:G818" si="813">E818*1.1</f>
        <v>2640000</v>
      </c>
      <c r="G818" s="319">
        <f t="shared" si="813"/>
        <v>2904000.0000000005</v>
      </c>
      <c r="H818" s="132"/>
    </row>
    <row r="819" spans="1:8" s="290" customFormat="1" outlineLevel="2">
      <c r="A819" s="382"/>
      <c r="B819" s="382"/>
      <c r="C819" s="409">
        <v>2211201</v>
      </c>
      <c r="D819" s="410" t="s">
        <v>91</v>
      </c>
      <c r="E819" s="427">
        <v>2400000</v>
      </c>
      <c r="F819" s="319">
        <f t="shared" ref="F819:G819" si="814">E819*1.1</f>
        <v>2640000</v>
      </c>
      <c r="G819" s="319">
        <f t="shared" si="814"/>
        <v>2904000.0000000005</v>
      </c>
      <c r="H819" s="132"/>
    </row>
    <row r="820" spans="1:8" s="290" customFormat="1" ht="30" outlineLevel="2">
      <c r="A820" s="382"/>
      <c r="B820" s="382"/>
      <c r="C820" s="406">
        <v>2220100</v>
      </c>
      <c r="D820" s="407" t="s">
        <v>61</v>
      </c>
      <c r="E820" s="408">
        <f>E821+E822</f>
        <v>1415000</v>
      </c>
      <c r="F820" s="319">
        <f t="shared" ref="F820:G820" si="815">E820*1.1</f>
        <v>1556500.0000000002</v>
      </c>
      <c r="G820" s="319">
        <f t="shared" si="815"/>
        <v>1712150.0000000005</v>
      </c>
      <c r="H820" s="132"/>
    </row>
    <row r="821" spans="1:8" s="290" customFormat="1" outlineLevel="2">
      <c r="A821" s="382"/>
      <c r="B821" s="382"/>
      <c r="C821" s="409">
        <v>2220101</v>
      </c>
      <c r="D821" s="410" t="s">
        <v>62</v>
      </c>
      <c r="E821" s="411">
        <v>65000</v>
      </c>
      <c r="F821" s="319">
        <f t="shared" ref="F821:G821" si="816">E821*1.1</f>
        <v>71500</v>
      </c>
      <c r="G821" s="319">
        <f t="shared" si="816"/>
        <v>78650</v>
      </c>
      <c r="H821" s="132"/>
    </row>
    <row r="822" spans="1:8" s="290" customFormat="1" outlineLevel="2">
      <c r="A822" s="382"/>
      <c r="B822" s="382"/>
      <c r="C822" s="409">
        <v>2220105</v>
      </c>
      <c r="D822" s="410" t="s">
        <v>64</v>
      </c>
      <c r="E822" s="411">
        <v>1350000</v>
      </c>
      <c r="F822" s="319">
        <f t="shared" ref="F822:G822" si="817">E822*1.1</f>
        <v>1485000.0000000002</v>
      </c>
      <c r="G822" s="319">
        <f t="shared" si="817"/>
        <v>1633500.0000000005</v>
      </c>
      <c r="H822" s="132"/>
    </row>
    <row r="823" spans="1:8" s="290" customFormat="1" outlineLevel="2">
      <c r="A823" s="382"/>
      <c r="B823" s="382"/>
      <c r="C823" s="406">
        <v>2220200</v>
      </c>
      <c r="D823" s="407" t="s">
        <v>179</v>
      </c>
      <c r="E823" s="408">
        <f>E824+E825</f>
        <v>210000</v>
      </c>
      <c r="F823" s="319">
        <f t="shared" ref="F823:G823" si="818">E823*1.1</f>
        <v>231000.00000000003</v>
      </c>
      <c r="G823" s="319">
        <f t="shared" si="818"/>
        <v>254100.00000000006</v>
      </c>
      <c r="H823" s="132"/>
    </row>
    <row r="824" spans="1:8" s="290" customFormat="1" outlineLevel="2">
      <c r="A824" s="382"/>
      <c r="B824" s="382"/>
      <c r="C824" s="409">
        <v>2220202</v>
      </c>
      <c r="D824" s="410" t="s">
        <v>63</v>
      </c>
      <c r="E824" s="411">
        <v>80000</v>
      </c>
      <c r="F824" s="319">
        <f t="shared" ref="F824:G824" si="819">E824*1.1</f>
        <v>88000</v>
      </c>
      <c r="G824" s="319">
        <f t="shared" si="819"/>
        <v>96800.000000000015</v>
      </c>
      <c r="H824" s="132"/>
    </row>
    <row r="825" spans="1:8" s="290" customFormat="1" outlineLevel="2">
      <c r="A825" s="382"/>
      <c r="B825" s="382"/>
      <c r="C825" s="409">
        <v>2220205</v>
      </c>
      <c r="D825" s="410" t="s">
        <v>180</v>
      </c>
      <c r="E825" s="411">
        <v>130000</v>
      </c>
      <c r="F825" s="319">
        <f t="shared" ref="F825:G825" si="820">E825*1.1</f>
        <v>143000</v>
      </c>
      <c r="G825" s="319">
        <f t="shared" si="820"/>
        <v>157300</v>
      </c>
      <c r="H825" s="132"/>
    </row>
    <row r="826" spans="1:8" s="290" customFormat="1" outlineLevel="2">
      <c r="A826" s="382"/>
      <c r="B826" s="382"/>
      <c r="C826" s="406">
        <v>2211320</v>
      </c>
      <c r="D826" s="407" t="s">
        <v>196</v>
      </c>
      <c r="E826" s="408">
        <f>E827</f>
        <v>6600000</v>
      </c>
      <c r="F826" s="319">
        <f t="shared" ref="F826:G826" si="821">E826*1.1</f>
        <v>7260000.0000000009</v>
      </c>
      <c r="G826" s="319">
        <f t="shared" si="821"/>
        <v>7986000.0000000019</v>
      </c>
      <c r="H826" s="132"/>
    </row>
    <row r="827" spans="1:8" s="290" customFormat="1" outlineLevel="2">
      <c r="A827" s="382"/>
      <c r="B827" s="382"/>
      <c r="C827" s="409">
        <v>2211320</v>
      </c>
      <c r="D827" s="410" t="s">
        <v>196</v>
      </c>
      <c r="E827" s="411">
        <v>6600000</v>
      </c>
      <c r="F827" s="319">
        <f t="shared" ref="F827:G827" si="822">E827*1.1</f>
        <v>7260000.0000000009</v>
      </c>
      <c r="G827" s="319">
        <f t="shared" si="822"/>
        <v>7986000.0000000019</v>
      </c>
      <c r="H827" s="132"/>
    </row>
    <row r="828" spans="1:8" s="291" customFormat="1" outlineLevel="1">
      <c r="A828" s="429"/>
      <c r="B828" s="429"/>
      <c r="C828" s="406"/>
      <c r="D828" s="404" t="s">
        <v>183</v>
      </c>
      <c r="E828" s="430">
        <f>E787+E790+E793+E798+E802+E809+E814+E818+E820+E823+E826</f>
        <v>30029700</v>
      </c>
      <c r="F828" s="319">
        <f t="shared" ref="F828:G828" si="823">E828*1.1</f>
        <v>33032670.000000004</v>
      </c>
      <c r="G828" s="319">
        <f t="shared" si="823"/>
        <v>36335937.000000007</v>
      </c>
      <c r="H828" s="132"/>
    </row>
    <row r="829" spans="1:8" s="290" customFormat="1" outlineLevel="1">
      <c r="A829" s="382"/>
      <c r="B829" s="382"/>
      <c r="C829" s="431"/>
      <c r="D829" s="431" t="s">
        <v>197</v>
      </c>
      <c r="E829" s="432">
        <f>E828+E776</f>
        <v>109217242</v>
      </c>
      <c r="F829" s="319">
        <f t="shared" ref="F829:G829" si="824">E829*1.1</f>
        <v>120138966.2</v>
      </c>
      <c r="G829" s="319">
        <f t="shared" si="824"/>
        <v>132152862.82000001</v>
      </c>
      <c r="H829" s="132"/>
    </row>
    <row r="830" spans="1:8" s="290" customFormat="1" outlineLevel="1">
      <c r="A830" s="382"/>
      <c r="B830" s="382"/>
      <c r="C830" s="431"/>
      <c r="D830" s="431" t="s">
        <v>184</v>
      </c>
      <c r="E830" s="432">
        <f>E782</f>
        <v>35779423.525239944</v>
      </c>
      <c r="F830" s="319">
        <f t="shared" ref="F830:G830" si="825">E830*1.1</f>
        <v>39357365.877763942</v>
      </c>
      <c r="G830" s="319">
        <f t="shared" si="825"/>
        <v>43293102.465540342</v>
      </c>
      <c r="H830" s="132"/>
    </row>
    <row r="831" spans="1:8" s="290" customFormat="1" outlineLevel="1">
      <c r="A831" s="382"/>
      <c r="B831" s="382"/>
      <c r="C831" s="431"/>
      <c r="D831" s="431" t="s">
        <v>198</v>
      </c>
      <c r="E831" s="432">
        <f>E829+E830</f>
        <v>144996665.52523994</v>
      </c>
      <c r="F831" s="319">
        <f t="shared" ref="F831:G831" si="826">E831*1.1</f>
        <v>159496332.07776394</v>
      </c>
      <c r="G831" s="319">
        <f t="shared" si="826"/>
        <v>175445965.28554034</v>
      </c>
      <c r="H831" s="132"/>
    </row>
    <row r="832" spans="1:8" s="290" customFormat="1" outlineLevel="1">
      <c r="A832" s="382"/>
      <c r="B832" s="382"/>
      <c r="C832" s="341"/>
      <c r="D832" s="433" t="s">
        <v>199</v>
      </c>
      <c r="E832" s="434">
        <f>E8</f>
        <v>589307167</v>
      </c>
      <c r="F832" s="319">
        <f t="shared" ref="F832:G832" si="827">E832*1.1</f>
        <v>648237883.70000005</v>
      </c>
      <c r="G832" s="319">
        <f t="shared" si="827"/>
        <v>713061672.07000005</v>
      </c>
      <c r="H832" s="132"/>
    </row>
    <row r="833" spans="1:8" s="290" customFormat="1" outlineLevel="1">
      <c r="A833" s="382"/>
      <c r="B833" s="382"/>
      <c r="C833" s="341"/>
      <c r="D833" s="433" t="s">
        <v>200</v>
      </c>
      <c r="E833" s="434">
        <f>E828+E776+E710+E658+E603+E551+E498+E442+E389+E328+E290+E238+E202+E161+E122+E67-E8</f>
        <v>838188656.90825272</v>
      </c>
      <c r="F833" s="319">
        <f t="shared" ref="F833:G833" si="828">E833*1.1</f>
        <v>922007522.59907806</v>
      </c>
      <c r="G833" s="319">
        <f t="shared" si="828"/>
        <v>1014208274.8589859</v>
      </c>
      <c r="H833" s="132"/>
    </row>
    <row r="834" spans="1:8" s="291" customFormat="1">
      <c r="A834" s="429"/>
      <c r="B834" s="429"/>
      <c r="C834" s="435"/>
      <c r="D834" s="317" t="s">
        <v>101</v>
      </c>
      <c r="E834" s="436">
        <f>E828+E776+E710+E658+E603+E551+E498+E442+E389+E328+E290+E238+E202+E161+E122+E67</f>
        <v>1427495823.9082527</v>
      </c>
      <c r="F834" s="436">
        <f t="shared" ref="F834:G834" si="829">F828+F776+F710+F658+F603+F551+F498+F442+F389+F328+F290+F238+F202+F161+F122+F67</f>
        <v>1570245406.299078</v>
      </c>
      <c r="G834" s="436">
        <f t="shared" si="829"/>
        <v>1727269946.9289861</v>
      </c>
      <c r="H834" s="132"/>
    </row>
    <row r="835" spans="1:8" s="290" customFormat="1">
      <c r="A835" s="382"/>
      <c r="B835" s="382"/>
      <c r="C835" s="341"/>
      <c r="D835" s="317" t="s">
        <v>201</v>
      </c>
      <c r="E835" s="432">
        <f>E782+E77</f>
        <v>935279423.52523994</v>
      </c>
      <c r="F835" s="432">
        <f t="shared" ref="F835:G835" si="830">F782+F77</f>
        <v>1028807365.8777641</v>
      </c>
      <c r="G835" s="432">
        <f t="shared" si="830"/>
        <v>1131688102.4655406</v>
      </c>
      <c r="H835" s="132"/>
    </row>
    <row r="836" spans="1:8" s="290" customFormat="1">
      <c r="A836" s="382"/>
      <c r="B836" s="382"/>
      <c r="C836" s="820" t="s">
        <v>202</v>
      </c>
      <c r="D836" s="821"/>
      <c r="E836" s="432">
        <f>E834+E835</f>
        <v>2362775247.4334927</v>
      </c>
      <c r="F836" s="432">
        <f t="shared" ref="F836:G836" si="831">F834+F835</f>
        <v>2599052772.1768422</v>
      </c>
      <c r="G836" s="432">
        <f t="shared" si="831"/>
        <v>2858958049.3945265</v>
      </c>
      <c r="H836" s="132"/>
    </row>
    <row r="837" spans="1:8" s="289" customFormat="1">
      <c r="A837" s="311"/>
      <c r="B837" s="311"/>
      <c r="C837" s="312"/>
      <c r="D837" s="313"/>
      <c r="E837" s="314"/>
      <c r="F837" s="382"/>
      <c r="G837" s="382"/>
      <c r="H837" s="132"/>
    </row>
    <row r="838" spans="1:8" s="289" customFormat="1">
      <c r="A838" s="311"/>
      <c r="B838" s="311"/>
      <c r="C838" s="312"/>
      <c r="D838" s="313"/>
      <c r="E838" s="314"/>
      <c r="F838" s="382"/>
      <c r="G838" s="382"/>
      <c r="H838" s="132"/>
    </row>
    <row r="839" spans="1:8" s="289" customFormat="1">
      <c r="A839" s="311"/>
      <c r="B839" s="311"/>
      <c r="C839" s="312"/>
      <c r="D839" s="313"/>
      <c r="E839" s="314"/>
      <c r="F839" s="382"/>
      <c r="G839" s="382"/>
      <c r="H839" s="132"/>
    </row>
    <row r="840" spans="1:8" s="292" customFormat="1">
      <c r="A840" s="437"/>
      <c r="B840" s="438"/>
      <c r="C840" s="438" t="s">
        <v>203</v>
      </c>
      <c r="D840" s="317"/>
      <c r="E840" s="439"/>
      <c r="F840" s="440"/>
      <c r="G840" s="440"/>
      <c r="H840" s="132"/>
    </row>
    <row r="841" spans="1:8" s="292" customFormat="1" outlineLevel="2">
      <c r="A841" s="441" t="s">
        <v>204</v>
      </c>
      <c r="B841" s="355"/>
      <c r="C841" s="441" t="s">
        <v>205</v>
      </c>
      <c r="D841" s="322"/>
      <c r="E841" s="442"/>
      <c r="F841" s="440">
        <f t="shared" ref="F841:G860" si="832">E841*1.1</f>
        <v>0</v>
      </c>
      <c r="G841" s="440">
        <f t="shared" si="832"/>
        <v>0</v>
      </c>
      <c r="H841" s="132"/>
    </row>
    <row r="842" spans="1:8" s="292" customFormat="1" outlineLevel="2">
      <c r="A842" s="437"/>
      <c r="B842" s="441" t="s">
        <v>98</v>
      </c>
      <c r="C842" s="441" t="s">
        <v>206</v>
      </c>
      <c r="D842" s="322"/>
      <c r="E842" s="442"/>
      <c r="F842" s="440">
        <f t="shared" si="832"/>
        <v>0</v>
      </c>
      <c r="G842" s="440">
        <f t="shared" si="832"/>
        <v>0</v>
      </c>
      <c r="H842" s="132"/>
    </row>
    <row r="843" spans="1:8" s="292" customFormat="1" outlineLevel="2">
      <c r="A843" s="443"/>
      <c r="B843" s="443"/>
      <c r="C843" s="444">
        <v>2110100</v>
      </c>
      <c r="D843" s="445" t="s">
        <v>13</v>
      </c>
      <c r="E843" s="446">
        <f>E844</f>
        <v>11407771.09</v>
      </c>
      <c r="F843" s="446">
        <f t="shared" ref="F843:G843" si="833">F844</f>
        <v>12548548.199000001</v>
      </c>
      <c r="G843" s="446">
        <f t="shared" si="833"/>
        <v>13803403.018900001</v>
      </c>
      <c r="H843" s="132"/>
    </row>
    <row r="844" spans="1:8" s="292" customFormat="1" outlineLevel="2">
      <c r="A844" s="447"/>
      <c r="B844" s="447"/>
      <c r="C844" s="448">
        <v>2110101</v>
      </c>
      <c r="D844" s="449" t="s">
        <v>14</v>
      </c>
      <c r="E844" s="450">
        <f>6534156.2-998243.11+5871858</f>
        <v>11407771.09</v>
      </c>
      <c r="F844" s="440">
        <f t="shared" si="832"/>
        <v>12548548.199000001</v>
      </c>
      <c r="G844" s="440">
        <f t="shared" si="832"/>
        <v>13803403.018900001</v>
      </c>
      <c r="H844" s="132"/>
    </row>
    <row r="845" spans="1:8" s="292" customFormat="1" outlineLevel="2">
      <c r="A845" s="355"/>
      <c r="B845" s="355"/>
      <c r="C845" s="386" t="s">
        <v>207</v>
      </c>
      <c r="D845" s="330" t="s">
        <v>16</v>
      </c>
      <c r="E845" s="446">
        <f>E846+E847+E848</f>
        <v>430000</v>
      </c>
      <c r="F845" s="446">
        <f t="shared" ref="F845:G845" si="834">F846+F847+F848</f>
        <v>473000.00000000006</v>
      </c>
      <c r="G845" s="446">
        <f t="shared" si="834"/>
        <v>520300.00000000012</v>
      </c>
      <c r="H845" s="132"/>
    </row>
    <row r="846" spans="1:8" s="292" customFormat="1" outlineLevel="2">
      <c r="A846" s="355"/>
      <c r="B846" s="355"/>
      <c r="C846" s="389">
        <v>2210101</v>
      </c>
      <c r="D846" s="326" t="s">
        <v>17</v>
      </c>
      <c r="E846" s="450">
        <v>190000</v>
      </c>
      <c r="F846" s="440">
        <f t="shared" si="832"/>
        <v>209000.00000000003</v>
      </c>
      <c r="G846" s="440">
        <f t="shared" si="832"/>
        <v>229900.00000000006</v>
      </c>
      <c r="H846" s="132"/>
    </row>
    <row r="847" spans="1:8" s="292" customFormat="1" outlineLevel="2">
      <c r="A847" s="443"/>
      <c r="B847" s="443"/>
      <c r="C847" s="389">
        <v>2210102</v>
      </c>
      <c r="D847" s="326" t="s">
        <v>18</v>
      </c>
      <c r="E847" s="450">
        <v>90000</v>
      </c>
      <c r="F847" s="440">
        <f t="shared" si="832"/>
        <v>99000.000000000015</v>
      </c>
      <c r="G847" s="440">
        <f t="shared" si="832"/>
        <v>108900.00000000003</v>
      </c>
      <c r="H847" s="132"/>
    </row>
    <row r="848" spans="1:8" s="292" customFormat="1" outlineLevel="2">
      <c r="A848" s="355"/>
      <c r="B848" s="355"/>
      <c r="C848" s="389">
        <v>2210103</v>
      </c>
      <c r="D848" s="326" t="s">
        <v>22</v>
      </c>
      <c r="E848" s="450">
        <v>150000</v>
      </c>
      <c r="F848" s="440">
        <f t="shared" si="832"/>
        <v>165000</v>
      </c>
      <c r="G848" s="440">
        <f t="shared" si="832"/>
        <v>181500.00000000003</v>
      </c>
      <c r="H848" s="132"/>
    </row>
    <row r="849" spans="1:8" s="292" customFormat="1" outlineLevel="2">
      <c r="A849" s="355"/>
      <c r="B849" s="355"/>
      <c r="C849" s="386">
        <v>2210200</v>
      </c>
      <c r="D849" s="333" t="s">
        <v>19</v>
      </c>
      <c r="E849" s="446">
        <f>E850+E851</f>
        <v>378500</v>
      </c>
      <c r="F849" s="446">
        <f t="shared" ref="F849:G849" si="835">F850+F851</f>
        <v>416350</v>
      </c>
      <c r="G849" s="446">
        <f t="shared" si="835"/>
        <v>457985</v>
      </c>
      <c r="H849" s="132"/>
    </row>
    <row r="850" spans="1:8" s="292" customFormat="1" outlineLevel="2">
      <c r="A850" s="443"/>
      <c r="B850" s="443"/>
      <c r="C850" s="389">
        <v>2210201</v>
      </c>
      <c r="D850" s="332" t="s">
        <v>20</v>
      </c>
      <c r="E850" s="450">
        <v>250000</v>
      </c>
      <c r="F850" s="440">
        <f t="shared" si="832"/>
        <v>275000</v>
      </c>
      <c r="G850" s="440">
        <f t="shared" si="832"/>
        <v>302500</v>
      </c>
      <c r="H850" s="132"/>
    </row>
    <row r="851" spans="1:8" s="292" customFormat="1" outlineLevel="2">
      <c r="A851" s="355"/>
      <c r="B851" s="355"/>
      <c r="C851" s="389">
        <v>2210202</v>
      </c>
      <c r="D851" s="332" t="s">
        <v>21</v>
      </c>
      <c r="E851" s="450">
        <v>128500</v>
      </c>
      <c r="F851" s="440">
        <f t="shared" si="832"/>
        <v>141350</v>
      </c>
      <c r="G851" s="440">
        <f t="shared" si="832"/>
        <v>155485</v>
      </c>
      <c r="H851" s="132"/>
    </row>
    <row r="852" spans="1:8" s="292" customFormat="1" ht="30" outlineLevel="2">
      <c r="A852" s="355"/>
      <c r="B852" s="355"/>
      <c r="C852" s="444">
        <v>2210300</v>
      </c>
      <c r="D852" s="445" t="s">
        <v>23</v>
      </c>
      <c r="E852" s="446">
        <f>E853+E854+E855+E856</f>
        <v>4450000</v>
      </c>
      <c r="F852" s="446">
        <f t="shared" ref="F852:G852" si="836">F853+F854+F855+F856</f>
        <v>4895000</v>
      </c>
      <c r="G852" s="446">
        <f t="shared" si="836"/>
        <v>5384500.0000000009</v>
      </c>
      <c r="H852" s="132"/>
    </row>
    <row r="853" spans="1:8" s="292" customFormat="1" outlineLevel="2">
      <c r="A853" s="443"/>
      <c r="B853" s="443"/>
      <c r="C853" s="451">
        <v>2210301</v>
      </c>
      <c r="D853" s="346" t="s">
        <v>208</v>
      </c>
      <c r="E853" s="450">
        <v>550000</v>
      </c>
      <c r="F853" s="440">
        <f t="shared" si="832"/>
        <v>605000</v>
      </c>
      <c r="G853" s="440">
        <f t="shared" si="832"/>
        <v>665500</v>
      </c>
      <c r="H853" s="132"/>
    </row>
    <row r="854" spans="1:8" s="292" customFormat="1" outlineLevel="2">
      <c r="A854" s="441"/>
      <c r="B854" s="441"/>
      <c r="C854" s="451">
        <v>2210302</v>
      </c>
      <c r="D854" s="346" t="s">
        <v>25</v>
      </c>
      <c r="E854" s="450">
        <f>2200000-400000</f>
        <v>1800000</v>
      </c>
      <c r="F854" s="440">
        <f t="shared" si="832"/>
        <v>1980000.0000000002</v>
      </c>
      <c r="G854" s="440">
        <f t="shared" si="832"/>
        <v>2178000.0000000005</v>
      </c>
      <c r="H854" s="132"/>
    </row>
    <row r="855" spans="1:8" s="292" customFormat="1" outlineLevel="2">
      <c r="A855" s="441"/>
      <c r="B855" s="441"/>
      <c r="C855" s="451">
        <v>2210303</v>
      </c>
      <c r="D855" s="346" t="s">
        <v>26</v>
      </c>
      <c r="E855" s="450">
        <v>1850000</v>
      </c>
      <c r="F855" s="440">
        <f t="shared" si="832"/>
        <v>2035000.0000000002</v>
      </c>
      <c r="G855" s="440">
        <f t="shared" si="832"/>
        <v>2238500.0000000005</v>
      </c>
      <c r="H855" s="132"/>
    </row>
    <row r="856" spans="1:8" s="292" customFormat="1" outlineLevel="2">
      <c r="A856" s="443"/>
      <c r="B856" s="443"/>
      <c r="C856" s="437">
        <v>2210304</v>
      </c>
      <c r="D856" s="326" t="s">
        <v>27</v>
      </c>
      <c r="E856" s="450">
        <v>250000</v>
      </c>
      <c r="F856" s="440">
        <f t="shared" si="832"/>
        <v>275000</v>
      </c>
      <c r="G856" s="440">
        <f t="shared" si="832"/>
        <v>302500</v>
      </c>
      <c r="H856" s="132"/>
    </row>
    <row r="857" spans="1:8" s="292" customFormat="1" ht="30" outlineLevel="2">
      <c r="A857" s="441"/>
      <c r="B857" s="441"/>
      <c r="C857" s="444">
        <v>2210400</v>
      </c>
      <c r="D857" s="445" t="s">
        <v>209</v>
      </c>
      <c r="E857" s="446">
        <f>E858+E859+E860</f>
        <v>347500</v>
      </c>
      <c r="F857" s="446">
        <f t="shared" ref="F857:G857" si="837">F858+F859+F860</f>
        <v>382250</v>
      </c>
      <c r="G857" s="446">
        <f t="shared" si="837"/>
        <v>420475</v>
      </c>
      <c r="H857" s="132"/>
    </row>
    <row r="858" spans="1:8" s="292" customFormat="1" outlineLevel="2">
      <c r="A858" s="441"/>
      <c r="B858" s="441"/>
      <c r="C858" s="451">
        <v>2210401</v>
      </c>
      <c r="D858" s="346" t="s">
        <v>210</v>
      </c>
      <c r="E858" s="450">
        <f>250000-50000-52500</f>
        <v>147500</v>
      </c>
      <c r="F858" s="440">
        <f t="shared" si="832"/>
        <v>162250</v>
      </c>
      <c r="G858" s="440">
        <f t="shared" si="832"/>
        <v>178475</v>
      </c>
      <c r="H858" s="132"/>
    </row>
    <row r="859" spans="1:8" s="292" customFormat="1" outlineLevel="2">
      <c r="A859" s="441"/>
      <c r="B859" s="452"/>
      <c r="C859" s="451">
        <v>2210402</v>
      </c>
      <c r="D859" s="346" t="s">
        <v>211</v>
      </c>
      <c r="E859" s="450">
        <v>150000</v>
      </c>
      <c r="F859" s="440">
        <f t="shared" si="832"/>
        <v>165000</v>
      </c>
      <c r="G859" s="440">
        <f t="shared" si="832"/>
        <v>181500.00000000003</v>
      </c>
      <c r="H859" s="132"/>
    </row>
    <row r="860" spans="1:8" s="292" customFormat="1" outlineLevel="2">
      <c r="A860" s="443"/>
      <c r="B860" s="443"/>
      <c r="C860" s="355">
        <v>2210404</v>
      </c>
      <c r="D860" s="346" t="s">
        <v>27</v>
      </c>
      <c r="E860" s="450">
        <v>50000</v>
      </c>
      <c r="F860" s="440">
        <f t="shared" si="832"/>
        <v>55000.000000000007</v>
      </c>
      <c r="G860" s="440">
        <f t="shared" si="832"/>
        <v>60500.000000000015</v>
      </c>
      <c r="H860" s="132"/>
    </row>
    <row r="861" spans="1:8" s="292" customFormat="1" outlineLevel="2">
      <c r="A861" s="441"/>
      <c r="B861" s="441"/>
      <c r="C861" s="444">
        <v>2210500</v>
      </c>
      <c r="D861" s="445" t="s">
        <v>30</v>
      </c>
      <c r="E861" s="446">
        <f>E862+E863+E864+E865</f>
        <v>1084000</v>
      </c>
      <c r="F861" s="446">
        <f t="shared" ref="F861:G861" si="838">F862+F863+F864+F865</f>
        <v>1192400</v>
      </c>
      <c r="G861" s="446">
        <f t="shared" si="838"/>
        <v>1311640.0000000005</v>
      </c>
      <c r="H861" s="132"/>
    </row>
    <row r="862" spans="1:8" s="292" customFormat="1" outlineLevel="2">
      <c r="A862" s="452"/>
      <c r="B862" s="441"/>
      <c r="C862" s="451">
        <v>2210502</v>
      </c>
      <c r="D862" s="346" t="s">
        <v>162</v>
      </c>
      <c r="E862" s="450">
        <v>100000</v>
      </c>
      <c r="F862" s="440">
        <f t="shared" ref="F862:G879" si="839">E862*1.1</f>
        <v>110000.00000000001</v>
      </c>
      <c r="G862" s="440">
        <f t="shared" si="839"/>
        <v>121000.00000000003</v>
      </c>
      <c r="H862" s="132"/>
    </row>
    <row r="863" spans="1:8" s="292" customFormat="1" outlineLevel="2">
      <c r="A863" s="441"/>
      <c r="B863" s="441"/>
      <c r="C863" s="451">
        <v>2210503</v>
      </c>
      <c r="D863" s="346" t="s">
        <v>31</v>
      </c>
      <c r="E863" s="450">
        <v>84000</v>
      </c>
      <c r="F863" s="440">
        <f t="shared" si="839"/>
        <v>92400.000000000015</v>
      </c>
      <c r="G863" s="440">
        <f t="shared" si="839"/>
        <v>101640.00000000003</v>
      </c>
      <c r="H863" s="132"/>
    </row>
    <row r="864" spans="1:8" s="292" customFormat="1" outlineLevel="2">
      <c r="A864" s="443"/>
      <c r="B864" s="443"/>
      <c r="C864" s="451">
        <v>2210504</v>
      </c>
      <c r="D864" s="346" t="s">
        <v>212</v>
      </c>
      <c r="E864" s="450">
        <v>150000</v>
      </c>
      <c r="F864" s="440">
        <f t="shared" si="839"/>
        <v>165000</v>
      </c>
      <c r="G864" s="440">
        <f t="shared" si="839"/>
        <v>181500.00000000003</v>
      </c>
      <c r="H864" s="132"/>
    </row>
    <row r="865" spans="1:8" s="292" customFormat="1" outlineLevel="2">
      <c r="A865" s="441"/>
      <c r="B865" s="441"/>
      <c r="C865" s="451">
        <v>2210505</v>
      </c>
      <c r="D865" s="346" t="s">
        <v>213</v>
      </c>
      <c r="E865" s="450">
        <f>350000+550000-150000</f>
        <v>750000</v>
      </c>
      <c r="F865" s="440">
        <f t="shared" si="839"/>
        <v>825000.00000000012</v>
      </c>
      <c r="G865" s="440">
        <f t="shared" si="839"/>
        <v>907500.00000000023</v>
      </c>
      <c r="H865" s="132"/>
    </row>
    <row r="866" spans="1:8" s="292" customFormat="1" outlineLevel="2">
      <c r="A866" s="441"/>
      <c r="B866" s="441"/>
      <c r="C866" s="444">
        <v>2210700</v>
      </c>
      <c r="D866" s="445" t="s">
        <v>214</v>
      </c>
      <c r="E866" s="446">
        <f>E867+E868+E869+E870+E871+E872+E873</f>
        <v>1690000</v>
      </c>
      <c r="F866" s="446">
        <f t="shared" ref="F866:G866" si="840">F867+F871+F873+F868+F869+F870+F872</f>
        <v>1859000</v>
      </c>
      <c r="G866" s="446">
        <f t="shared" si="840"/>
        <v>2044900.0000000002</v>
      </c>
      <c r="H866" s="132"/>
    </row>
    <row r="867" spans="1:8" s="292" customFormat="1" outlineLevel="2">
      <c r="A867" s="443"/>
      <c r="B867" s="443"/>
      <c r="C867" s="451">
        <v>2210701</v>
      </c>
      <c r="D867" s="346" t="s">
        <v>35</v>
      </c>
      <c r="E867" s="450">
        <v>750000</v>
      </c>
      <c r="F867" s="440">
        <f t="shared" si="839"/>
        <v>825000.00000000012</v>
      </c>
      <c r="G867" s="440">
        <f t="shared" si="839"/>
        <v>907500.00000000023</v>
      </c>
      <c r="H867" s="132"/>
    </row>
    <row r="868" spans="1:8" s="292" customFormat="1" outlineLevel="2">
      <c r="A868" s="441"/>
      <c r="B868" s="441"/>
      <c r="C868" s="389">
        <v>2210702</v>
      </c>
      <c r="D868" s="332" t="s">
        <v>83</v>
      </c>
      <c r="E868" s="450">
        <v>150000</v>
      </c>
      <c r="F868" s="440">
        <f t="shared" si="839"/>
        <v>165000</v>
      </c>
      <c r="G868" s="440">
        <f t="shared" si="839"/>
        <v>181500.00000000003</v>
      </c>
      <c r="H868" s="132"/>
    </row>
    <row r="869" spans="1:8" s="292" customFormat="1" outlineLevel="2">
      <c r="A869" s="441"/>
      <c r="B869" s="441"/>
      <c r="C869" s="389">
        <v>2210703</v>
      </c>
      <c r="D869" s="332" t="s">
        <v>166</v>
      </c>
      <c r="E869" s="450">
        <v>150000</v>
      </c>
      <c r="F869" s="440">
        <f t="shared" si="839"/>
        <v>165000</v>
      </c>
      <c r="G869" s="440">
        <f t="shared" si="839"/>
        <v>181500.00000000003</v>
      </c>
      <c r="H869" s="132"/>
    </row>
    <row r="870" spans="1:8" s="292" customFormat="1" outlineLevel="2">
      <c r="A870" s="441"/>
      <c r="B870" s="441"/>
      <c r="C870" s="389">
        <v>2210704</v>
      </c>
      <c r="D870" s="332" t="s">
        <v>37</v>
      </c>
      <c r="E870" s="450">
        <v>100000</v>
      </c>
      <c r="F870" s="440">
        <f t="shared" si="839"/>
        <v>110000.00000000001</v>
      </c>
      <c r="G870" s="440">
        <f t="shared" si="839"/>
        <v>121000.00000000003</v>
      </c>
      <c r="H870" s="132"/>
    </row>
    <row r="871" spans="1:8" s="292" customFormat="1" outlineLevel="2">
      <c r="A871" s="441"/>
      <c r="B871" s="441"/>
      <c r="C871" s="451">
        <v>2210710</v>
      </c>
      <c r="D871" s="346" t="s">
        <v>38</v>
      </c>
      <c r="E871" s="450">
        <v>200000</v>
      </c>
      <c r="F871" s="440">
        <f t="shared" si="839"/>
        <v>220000.00000000003</v>
      </c>
      <c r="G871" s="440">
        <f t="shared" si="839"/>
        <v>242000.00000000006</v>
      </c>
      <c r="H871" s="132"/>
    </row>
    <row r="872" spans="1:8" s="292" customFormat="1" outlineLevel="2">
      <c r="A872" s="443"/>
      <c r="B872" s="443"/>
      <c r="C872" s="389" t="s">
        <v>215</v>
      </c>
      <c r="D872" s="332" t="s">
        <v>216</v>
      </c>
      <c r="E872" s="450">
        <f>250000-60000</f>
        <v>190000</v>
      </c>
      <c r="F872" s="440">
        <f t="shared" si="839"/>
        <v>209000.00000000003</v>
      </c>
      <c r="G872" s="440">
        <f t="shared" si="839"/>
        <v>229900.00000000006</v>
      </c>
      <c r="H872" s="132"/>
    </row>
    <row r="873" spans="1:8" s="292" customFormat="1" outlineLevel="2">
      <c r="A873" s="441"/>
      <c r="B873" s="441"/>
      <c r="C873" s="437">
        <v>2210715</v>
      </c>
      <c r="D873" s="326" t="s">
        <v>39</v>
      </c>
      <c r="E873" s="450">
        <v>150000</v>
      </c>
      <c r="F873" s="440">
        <f t="shared" si="839"/>
        <v>165000</v>
      </c>
      <c r="G873" s="440">
        <f t="shared" si="839"/>
        <v>181500.00000000003</v>
      </c>
      <c r="H873" s="132"/>
    </row>
    <row r="874" spans="1:8" s="292" customFormat="1" outlineLevel="2">
      <c r="A874" s="441"/>
      <c r="B874" s="441"/>
      <c r="C874" s="444">
        <v>2210800</v>
      </c>
      <c r="D874" s="445" t="s">
        <v>41</v>
      </c>
      <c r="E874" s="446">
        <f>E875+E876+E877</f>
        <v>1800000</v>
      </c>
      <c r="F874" s="446">
        <f>F875+F876+F877</f>
        <v>1980000</v>
      </c>
      <c r="G874" s="446">
        <f>G875+G876+G877</f>
        <v>2178000</v>
      </c>
      <c r="H874" s="132"/>
    </row>
    <row r="875" spans="1:8" s="292" customFormat="1" ht="30" outlineLevel="2">
      <c r="A875" s="443"/>
      <c r="B875" s="443"/>
      <c r="C875" s="451">
        <v>2210801</v>
      </c>
      <c r="D875" s="346" t="s">
        <v>112</v>
      </c>
      <c r="E875" s="450">
        <f>800000-350000</f>
        <v>450000</v>
      </c>
      <c r="F875" s="440">
        <f t="shared" si="839"/>
        <v>495000.00000000006</v>
      </c>
      <c r="G875" s="440">
        <f t="shared" si="839"/>
        <v>544500.00000000012</v>
      </c>
      <c r="H875" s="132"/>
    </row>
    <row r="876" spans="1:8" s="292" customFormat="1" outlineLevel="2">
      <c r="A876" s="355"/>
      <c r="B876" s="355"/>
      <c r="C876" s="451">
        <v>2210802</v>
      </c>
      <c r="D876" s="346" t="s">
        <v>86</v>
      </c>
      <c r="E876" s="450">
        <v>250000</v>
      </c>
      <c r="F876" s="440">
        <f t="shared" si="839"/>
        <v>275000</v>
      </c>
      <c r="G876" s="440">
        <f t="shared" si="839"/>
        <v>302500</v>
      </c>
      <c r="H876" s="132"/>
    </row>
    <row r="877" spans="1:8" s="292" customFormat="1" outlineLevel="2">
      <c r="A877" s="441"/>
      <c r="B877" s="441"/>
      <c r="C877" s="389" t="s">
        <v>217</v>
      </c>
      <c r="D877" s="332" t="s">
        <v>218</v>
      </c>
      <c r="E877" s="450">
        <f>600000+600000-100000</f>
        <v>1100000</v>
      </c>
      <c r="F877" s="440">
        <f t="shared" si="839"/>
        <v>1210000</v>
      </c>
      <c r="G877" s="440">
        <f t="shared" si="839"/>
        <v>1331000</v>
      </c>
      <c r="H877" s="132"/>
    </row>
    <row r="878" spans="1:8" s="292" customFormat="1" outlineLevel="2">
      <c r="A878" s="355"/>
      <c r="B878" s="355"/>
      <c r="C878" s="444">
        <v>2211000</v>
      </c>
      <c r="D878" s="445" t="s">
        <v>173</v>
      </c>
      <c r="E878" s="446">
        <f>E879</f>
        <v>150000</v>
      </c>
      <c r="F878" s="440">
        <f t="shared" si="839"/>
        <v>165000</v>
      </c>
      <c r="G878" s="440">
        <f t="shared" si="839"/>
        <v>181500.00000000003</v>
      </c>
      <c r="H878" s="132"/>
    </row>
    <row r="879" spans="1:8" s="292" customFormat="1" outlineLevel="2">
      <c r="A879" s="443"/>
      <c r="B879" s="443"/>
      <c r="C879" s="451">
        <v>2211016</v>
      </c>
      <c r="D879" s="346" t="s">
        <v>219</v>
      </c>
      <c r="E879" s="450">
        <v>150000</v>
      </c>
      <c r="F879" s="440">
        <f t="shared" si="839"/>
        <v>165000</v>
      </c>
      <c r="G879" s="440">
        <f t="shared" si="839"/>
        <v>181500.00000000003</v>
      </c>
      <c r="H879" s="132"/>
    </row>
    <row r="880" spans="1:8" s="292" customFormat="1" outlineLevel="2">
      <c r="A880" s="441"/>
      <c r="B880" s="441"/>
      <c r="C880" s="444">
        <v>2211100</v>
      </c>
      <c r="D880" s="445" t="s">
        <v>49</v>
      </c>
      <c r="E880" s="446">
        <f>E881+E882+E883</f>
        <v>450000</v>
      </c>
      <c r="F880" s="446">
        <f t="shared" ref="F880:G880" si="841">F881+F882+F883</f>
        <v>495000</v>
      </c>
      <c r="G880" s="446">
        <f t="shared" si="841"/>
        <v>544500.00000000012</v>
      </c>
      <c r="H880" s="132"/>
    </row>
    <row r="881" spans="1:8" s="292" customFormat="1" ht="30" outlineLevel="2">
      <c r="A881" s="441"/>
      <c r="B881" s="441"/>
      <c r="C881" s="451">
        <v>2211101</v>
      </c>
      <c r="D881" s="326" t="s">
        <v>220</v>
      </c>
      <c r="E881" s="450">
        <f>250000-50000</f>
        <v>200000</v>
      </c>
      <c r="F881" s="440">
        <f t="shared" ref="F881:G899" si="842">E881*1.1</f>
        <v>220000.00000000003</v>
      </c>
      <c r="G881" s="440">
        <f t="shared" si="842"/>
        <v>242000.00000000006</v>
      </c>
      <c r="H881" s="132"/>
    </row>
    <row r="882" spans="1:8" s="292" customFormat="1" outlineLevel="2">
      <c r="A882" s="443"/>
      <c r="B882" s="443"/>
      <c r="C882" s="451">
        <v>2211102</v>
      </c>
      <c r="D882" s="346" t="s">
        <v>51</v>
      </c>
      <c r="E882" s="450">
        <f>200000-50000</f>
        <v>150000</v>
      </c>
      <c r="F882" s="440">
        <f t="shared" si="842"/>
        <v>165000</v>
      </c>
      <c r="G882" s="440">
        <f t="shared" si="842"/>
        <v>181500.00000000003</v>
      </c>
      <c r="H882" s="132"/>
    </row>
    <row r="883" spans="1:8" s="292" customFormat="1" outlineLevel="2">
      <c r="A883" s="441"/>
      <c r="B883" s="441"/>
      <c r="C883" s="451">
        <v>2211103</v>
      </c>
      <c r="D883" s="346" t="s">
        <v>52</v>
      </c>
      <c r="E883" s="450">
        <f>150000-50000</f>
        <v>100000</v>
      </c>
      <c r="F883" s="440">
        <f t="shared" si="842"/>
        <v>110000.00000000001</v>
      </c>
      <c r="G883" s="440">
        <f t="shared" si="842"/>
        <v>121000.00000000003</v>
      </c>
      <c r="H883" s="132"/>
    </row>
    <row r="884" spans="1:8" s="292" customFormat="1" outlineLevel="2">
      <c r="A884" s="443"/>
      <c r="B884" s="443"/>
      <c r="C884" s="444">
        <v>2211200</v>
      </c>
      <c r="D884" s="445" t="s">
        <v>53</v>
      </c>
      <c r="E884" s="446">
        <f>E885+E886</f>
        <v>3500000</v>
      </c>
      <c r="F884" s="446">
        <f t="shared" ref="F884:G884" si="843">F885+F886</f>
        <v>3850000</v>
      </c>
      <c r="G884" s="446">
        <f t="shared" si="843"/>
        <v>4235000</v>
      </c>
      <c r="H884" s="132"/>
    </row>
    <row r="885" spans="1:8" s="292" customFormat="1" ht="30" outlineLevel="2">
      <c r="A885" s="441"/>
      <c r="B885" s="441"/>
      <c r="C885" s="451">
        <v>2211201</v>
      </c>
      <c r="D885" s="346" t="s">
        <v>221</v>
      </c>
      <c r="E885" s="450">
        <f>2800000-450000-350000</f>
        <v>2000000</v>
      </c>
      <c r="F885" s="440">
        <f t="shared" si="842"/>
        <v>2200000</v>
      </c>
      <c r="G885" s="440">
        <f t="shared" si="842"/>
        <v>2420000</v>
      </c>
      <c r="H885" s="132"/>
    </row>
    <row r="886" spans="1:8" s="292" customFormat="1" outlineLevel="2">
      <c r="A886" s="441"/>
      <c r="B886" s="441"/>
      <c r="C886" s="389" t="s">
        <v>222</v>
      </c>
      <c r="D886" s="332" t="s">
        <v>223</v>
      </c>
      <c r="E886" s="450">
        <f>2000000-500000</f>
        <v>1500000</v>
      </c>
      <c r="F886" s="440">
        <f>E886*1.1</f>
        <v>1650000.0000000002</v>
      </c>
      <c r="G886" s="440">
        <f t="shared" si="842"/>
        <v>1815000.0000000005</v>
      </c>
      <c r="H886" s="132"/>
    </row>
    <row r="887" spans="1:8" s="292" customFormat="1" outlineLevel="2">
      <c r="A887" s="441"/>
      <c r="B887" s="441"/>
      <c r="C887" s="386">
        <v>2211300</v>
      </c>
      <c r="D887" s="333" t="s">
        <v>55</v>
      </c>
      <c r="E887" s="446">
        <f>E888</f>
        <v>2500000</v>
      </c>
      <c r="F887" s="446">
        <f t="shared" ref="F887:G887" si="844">F888</f>
        <v>2750000</v>
      </c>
      <c r="G887" s="446">
        <f t="shared" si="844"/>
        <v>3025000.0000000005</v>
      </c>
      <c r="H887" s="132"/>
    </row>
    <row r="888" spans="1:8" s="292" customFormat="1" outlineLevel="2">
      <c r="A888" s="441"/>
      <c r="B888" s="441"/>
      <c r="C888" s="389">
        <v>2211399</v>
      </c>
      <c r="D888" s="332" t="s">
        <v>60</v>
      </c>
      <c r="E888" s="450">
        <f>6000000-3500000</f>
        <v>2500000</v>
      </c>
      <c r="F888" s="440">
        <f>E888*1.1</f>
        <v>2750000</v>
      </c>
      <c r="G888" s="440">
        <f>F888*1.1</f>
        <v>3025000.0000000005</v>
      </c>
      <c r="H888" s="132"/>
    </row>
    <row r="889" spans="1:8" s="292" customFormat="1" ht="30" outlineLevel="2">
      <c r="A889" s="441"/>
      <c r="B889" s="441"/>
      <c r="C889" s="444">
        <v>2220100</v>
      </c>
      <c r="D889" s="445" t="s">
        <v>224</v>
      </c>
      <c r="E889" s="446">
        <f>E890+E891</f>
        <v>2080000</v>
      </c>
      <c r="F889" s="446">
        <f t="shared" ref="F889:G889" si="845">F890+F891</f>
        <v>2288000</v>
      </c>
      <c r="G889" s="446">
        <f t="shared" si="845"/>
        <v>2516800.0000000005</v>
      </c>
      <c r="H889" s="132"/>
    </row>
    <row r="890" spans="1:8" s="292" customFormat="1" outlineLevel="2">
      <c r="A890" s="443"/>
      <c r="B890" s="443"/>
      <c r="C890" s="451">
        <v>2220101</v>
      </c>
      <c r="D890" s="346" t="s">
        <v>225</v>
      </c>
      <c r="E890" s="450">
        <f>1800000-200000</f>
        <v>1600000</v>
      </c>
      <c r="F890" s="440">
        <f t="shared" si="842"/>
        <v>1760000.0000000002</v>
      </c>
      <c r="G890" s="440">
        <f t="shared" si="842"/>
        <v>1936000.0000000005</v>
      </c>
      <c r="H890" s="132"/>
    </row>
    <row r="891" spans="1:8" s="292" customFormat="1" outlineLevel="2">
      <c r="A891" s="441"/>
      <c r="B891" s="441"/>
      <c r="C891" s="437">
        <v>2220105</v>
      </c>
      <c r="D891" s="326" t="s">
        <v>64</v>
      </c>
      <c r="E891" s="450">
        <v>480000</v>
      </c>
      <c r="F891" s="440">
        <f t="shared" si="842"/>
        <v>528000</v>
      </c>
      <c r="G891" s="440">
        <f t="shared" si="842"/>
        <v>580800</v>
      </c>
      <c r="H891" s="132"/>
    </row>
    <row r="892" spans="1:8" s="292" customFormat="1" outlineLevel="2">
      <c r="A892" s="443"/>
      <c r="B892" s="443"/>
      <c r="C892" s="444">
        <v>2220200</v>
      </c>
      <c r="D892" s="445" t="s">
        <v>179</v>
      </c>
      <c r="E892" s="446">
        <f>E893+E894+E895</f>
        <v>650000</v>
      </c>
      <c r="F892" s="446">
        <f t="shared" ref="F892:G892" si="846">F895+F893+F894</f>
        <v>715000.00000000012</v>
      </c>
      <c r="G892" s="446">
        <f t="shared" si="846"/>
        <v>786500.00000000023</v>
      </c>
      <c r="H892" s="132"/>
    </row>
    <row r="893" spans="1:8" s="292" customFormat="1" outlineLevel="2">
      <c r="A893" s="441"/>
      <c r="B893" s="441"/>
      <c r="C893" s="389">
        <v>2220202</v>
      </c>
      <c r="D893" s="332" t="s">
        <v>63</v>
      </c>
      <c r="E893" s="450">
        <v>200000</v>
      </c>
      <c r="F893" s="440">
        <f t="shared" si="842"/>
        <v>220000.00000000003</v>
      </c>
      <c r="G893" s="440">
        <f t="shared" si="842"/>
        <v>242000.00000000006</v>
      </c>
      <c r="H893" s="132"/>
    </row>
    <row r="894" spans="1:8" s="292" customFormat="1" outlineLevel="2">
      <c r="A894" s="441"/>
      <c r="B894" s="441"/>
      <c r="C894" s="389">
        <v>2220205</v>
      </c>
      <c r="D894" s="332" t="s">
        <v>180</v>
      </c>
      <c r="E894" s="450">
        <f>850000-500000</f>
        <v>350000</v>
      </c>
      <c r="F894" s="440">
        <f t="shared" si="842"/>
        <v>385000.00000000006</v>
      </c>
      <c r="G894" s="440">
        <f t="shared" si="842"/>
        <v>423500.00000000012</v>
      </c>
      <c r="H894" s="132"/>
    </row>
    <row r="895" spans="1:8" s="292" customFormat="1" outlineLevel="2">
      <c r="A895" s="443"/>
      <c r="B895" s="443"/>
      <c r="C895" s="451">
        <v>2220210</v>
      </c>
      <c r="D895" s="346" t="s">
        <v>181</v>
      </c>
      <c r="E895" s="450">
        <v>100000</v>
      </c>
      <c r="F895" s="440">
        <f t="shared" si="842"/>
        <v>110000.00000000001</v>
      </c>
      <c r="G895" s="440">
        <f t="shared" si="842"/>
        <v>121000.00000000003</v>
      </c>
      <c r="H895" s="132"/>
    </row>
    <row r="896" spans="1:8" s="292" customFormat="1" outlineLevel="2">
      <c r="A896" s="441"/>
      <c r="B896" s="441"/>
      <c r="C896" s="443">
        <v>3111000</v>
      </c>
      <c r="D896" s="445" t="s">
        <v>65</v>
      </c>
      <c r="E896" s="446">
        <f>E897+E898+E899</f>
        <v>1490000</v>
      </c>
      <c r="F896" s="446">
        <f t="shared" ref="F896:G896" si="847">F897+F898+F899</f>
        <v>1639000.0000000002</v>
      </c>
      <c r="G896" s="446">
        <f t="shared" si="847"/>
        <v>1802900.0000000005</v>
      </c>
      <c r="H896" s="132"/>
    </row>
    <row r="897" spans="1:8" s="292" customFormat="1" outlineLevel="2">
      <c r="A897" s="443"/>
      <c r="B897" s="443"/>
      <c r="C897" s="437">
        <v>3111001</v>
      </c>
      <c r="D897" s="326" t="s">
        <v>226</v>
      </c>
      <c r="E897" s="450">
        <v>450000</v>
      </c>
      <c r="F897" s="440">
        <f t="shared" si="842"/>
        <v>495000.00000000006</v>
      </c>
      <c r="G897" s="440">
        <f t="shared" si="842"/>
        <v>544500.00000000012</v>
      </c>
      <c r="H897" s="132"/>
    </row>
    <row r="898" spans="1:8" s="292" customFormat="1" outlineLevel="2">
      <c r="A898" s="441"/>
      <c r="B898" s="441"/>
      <c r="C898" s="389">
        <v>3111002</v>
      </c>
      <c r="D898" s="332" t="s">
        <v>67</v>
      </c>
      <c r="E898" s="450">
        <f>320000+560000</f>
        <v>880000</v>
      </c>
      <c r="F898" s="440">
        <f t="shared" si="842"/>
        <v>968000.00000000012</v>
      </c>
      <c r="G898" s="440">
        <f t="shared" si="842"/>
        <v>1064800.0000000002</v>
      </c>
      <c r="H898" s="132"/>
    </row>
    <row r="899" spans="1:8" s="292" customFormat="1" outlineLevel="2">
      <c r="A899" s="437"/>
      <c r="B899" s="437"/>
      <c r="C899" s="389">
        <v>3111009</v>
      </c>
      <c r="D899" s="332" t="s">
        <v>227</v>
      </c>
      <c r="E899" s="450">
        <v>160000</v>
      </c>
      <c r="F899" s="440">
        <f t="shared" si="842"/>
        <v>176000</v>
      </c>
      <c r="G899" s="440">
        <f t="shared" si="842"/>
        <v>193600.00000000003</v>
      </c>
      <c r="H899" s="132"/>
    </row>
    <row r="900" spans="1:8" s="292" customFormat="1" outlineLevel="1">
      <c r="A900" s="441"/>
      <c r="B900" s="441"/>
      <c r="C900" s="453" t="s">
        <v>228</v>
      </c>
      <c r="D900" s="454"/>
      <c r="E900" s="455">
        <f>E896+E892+E889+E887+E884+E880+E878+E874+E866+E861+E857+E852+E849+E845+E843</f>
        <v>32407771.09</v>
      </c>
      <c r="F900" s="455">
        <f t="shared" ref="F900:G900" si="848">F896+F892+F889+F887+F884+F880+F878+F874+F866+F861+F857+F852+F849+F845+F843</f>
        <v>35648548.199000001</v>
      </c>
      <c r="G900" s="455">
        <f t="shared" si="848"/>
        <v>39213403.018900007</v>
      </c>
      <c r="H900" s="132"/>
    </row>
    <row r="901" spans="1:8" s="292" customFormat="1" outlineLevel="1">
      <c r="A901" s="441"/>
      <c r="B901" s="441"/>
      <c r="C901" s="453" t="s">
        <v>229</v>
      </c>
      <c r="D901" s="343"/>
      <c r="E901" s="455">
        <f>E900</f>
        <v>32407771.09</v>
      </c>
      <c r="F901" s="455">
        <f>F900</f>
        <v>35648548.199000001</v>
      </c>
      <c r="G901" s="455">
        <f t="shared" ref="G901" si="849">G900</f>
        <v>39213403.018900007</v>
      </c>
      <c r="H901" s="132"/>
    </row>
    <row r="902" spans="1:8" s="292" customFormat="1" outlineLevel="1">
      <c r="A902" s="456"/>
      <c r="B902" s="456"/>
      <c r="C902" s="457"/>
      <c r="D902" s="458"/>
      <c r="E902" s="459"/>
      <c r="F902" s="440">
        <f t="shared" ref="F902:G917" si="850">E902*1.1</f>
        <v>0</v>
      </c>
      <c r="G902" s="440">
        <f t="shared" si="850"/>
        <v>0</v>
      </c>
      <c r="H902" s="132"/>
    </row>
    <row r="903" spans="1:8" s="292" customFormat="1" outlineLevel="1">
      <c r="A903" s="389"/>
      <c r="B903" s="389"/>
      <c r="C903" s="443" t="s">
        <v>230</v>
      </c>
      <c r="D903" s="330"/>
      <c r="E903" s="460"/>
      <c r="F903" s="440">
        <f t="shared" si="850"/>
        <v>0</v>
      </c>
      <c r="G903" s="440">
        <f t="shared" si="850"/>
        <v>0</v>
      </c>
      <c r="H903" s="132"/>
    </row>
    <row r="904" spans="1:8" s="292" customFormat="1" outlineLevel="1">
      <c r="A904" s="456"/>
      <c r="B904" s="456" t="s">
        <v>98</v>
      </c>
      <c r="C904" s="443" t="s">
        <v>231</v>
      </c>
      <c r="D904" s="330"/>
      <c r="E904" s="459"/>
      <c r="F904" s="440">
        <f t="shared" si="850"/>
        <v>0</v>
      </c>
      <c r="G904" s="440">
        <f t="shared" si="850"/>
        <v>0</v>
      </c>
      <c r="H904" s="132"/>
    </row>
    <row r="905" spans="1:8" s="292" customFormat="1" outlineLevel="3">
      <c r="A905" s="386"/>
      <c r="B905" s="386"/>
      <c r="C905" s="443">
        <v>2110100</v>
      </c>
      <c r="D905" s="330" t="s">
        <v>232</v>
      </c>
      <c r="E905" s="446">
        <f>E906</f>
        <v>17724304.037</v>
      </c>
      <c r="F905" s="446">
        <f t="shared" ref="F905:G905" si="851">F906</f>
        <v>19496734.440700002</v>
      </c>
      <c r="G905" s="446">
        <f t="shared" si="851"/>
        <v>21446407.884770002</v>
      </c>
      <c r="H905" s="132"/>
    </row>
    <row r="906" spans="1:8" s="292" customFormat="1" outlineLevel="3">
      <c r="A906" s="389" t="s">
        <v>233</v>
      </c>
      <c r="B906" s="389"/>
      <c r="C906" s="437">
        <v>2110101</v>
      </c>
      <c r="D906" s="326" t="s">
        <v>234</v>
      </c>
      <c r="E906" s="450">
        <v>17724304.037</v>
      </c>
      <c r="F906" s="440">
        <f t="shared" si="850"/>
        <v>19496734.440700002</v>
      </c>
      <c r="G906" s="440">
        <f t="shared" si="850"/>
        <v>21446407.884770002</v>
      </c>
      <c r="H906" s="132"/>
    </row>
    <row r="907" spans="1:8" s="292" customFormat="1" outlineLevel="3">
      <c r="A907" s="386"/>
      <c r="B907" s="386"/>
      <c r="C907" s="443">
        <v>2210100</v>
      </c>
      <c r="D907" s="330" t="s">
        <v>235</v>
      </c>
      <c r="E907" s="446">
        <f>E908+E909</f>
        <v>230000</v>
      </c>
      <c r="F907" s="446">
        <f t="shared" ref="F907:G907" si="852">F908+F909</f>
        <v>230000</v>
      </c>
      <c r="G907" s="446">
        <f t="shared" si="852"/>
        <v>253000</v>
      </c>
      <c r="H907" s="132"/>
    </row>
    <row r="908" spans="1:8" s="292" customFormat="1" outlineLevel="3">
      <c r="A908" s="389"/>
      <c r="B908" s="389"/>
      <c r="C908" s="437">
        <v>2210101</v>
      </c>
      <c r="D908" s="326" t="s">
        <v>17</v>
      </c>
      <c r="E908" s="450">
        <v>150000</v>
      </c>
      <c r="F908" s="440">
        <v>150000</v>
      </c>
      <c r="G908" s="440">
        <f t="shared" si="850"/>
        <v>165000</v>
      </c>
      <c r="H908" s="132"/>
    </row>
    <row r="909" spans="1:8" s="292" customFormat="1" outlineLevel="3">
      <c r="A909" s="389"/>
      <c r="B909" s="389"/>
      <c r="C909" s="437">
        <v>2210102</v>
      </c>
      <c r="D909" s="326" t="s">
        <v>18</v>
      </c>
      <c r="E909" s="450">
        <v>80000</v>
      </c>
      <c r="F909" s="440">
        <v>80000</v>
      </c>
      <c r="G909" s="440">
        <f t="shared" si="850"/>
        <v>88000</v>
      </c>
      <c r="H909" s="132"/>
    </row>
    <row r="910" spans="1:8" s="292" customFormat="1" outlineLevel="3">
      <c r="A910" s="386"/>
      <c r="B910" s="386"/>
      <c r="C910" s="443">
        <v>2210200</v>
      </c>
      <c r="D910" s="330" t="s">
        <v>19</v>
      </c>
      <c r="E910" s="446">
        <f>E911+E912</f>
        <v>150000</v>
      </c>
      <c r="F910" s="446">
        <f t="shared" ref="F910:G910" si="853">F911+F912</f>
        <v>165000.00000000003</v>
      </c>
      <c r="G910" s="446">
        <f t="shared" si="853"/>
        <v>181500.00000000006</v>
      </c>
      <c r="H910" s="132"/>
    </row>
    <row r="911" spans="1:8" s="292" customFormat="1" outlineLevel="3">
      <c r="A911" s="389"/>
      <c r="B911" s="389"/>
      <c r="C911" s="437">
        <v>2210201</v>
      </c>
      <c r="D911" s="326" t="s">
        <v>236</v>
      </c>
      <c r="E911" s="450">
        <v>100000</v>
      </c>
      <c r="F911" s="440">
        <f t="shared" si="850"/>
        <v>110000.00000000001</v>
      </c>
      <c r="G911" s="440">
        <f t="shared" si="850"/>
        <v>121000.00000000003</v>
      </c>
      <c r="H911" s="132"/>
    </row>
    <row r="912" spans="1:8" s="292" customFormat="1" outlineLevel="3">
      <c r="A912" s="389"/>
      <c r="B912" s="389"/>
      <c r="C912" s="389">
        <v>2210202</v>
      </c>
      <c r="D912" s="332" t="s">
        <v>21</v>
      </c>
      <c r="E912" s="450">
        <v>50000</v>
      </c>
      <c r="F912" s="440">
        <f t="shared" si="850"/>
        <v>55000.000000000007</v>
      </c>
      <c r="G912" s="440">
        <f t="shared" si="850"/>
        <v>60500.000000000015</v>
      </c>
      <c r="H912" s="132"/>
    </row>
    <row r="913" spans="1:8" s="292" customFormat="1" ht="30" outlineLevel="3">
      <c r="A913" s="386"/>
      <c r="B913" s="386"/>
      <c r="C913" s="443">
        <v>2210300</v>
      </c>
      <c r="D913" s="330" t="s">
        <v>23</v>
      </c>
      <c r="E913" s="446">
        <f>E914+E915+E916+E917</f>
        <v>1550000</v>
      </c>
      <c r="F913" s="446">
        <f t="shared" ref="F913:G913" si="854">F914+F915+F917+F916</f>
        <v>1705000.0000000002</v>
      </c>
      <c r="G913" s="446">
        <f t="shared" si="854"/>
        <v>1875500.0000000005</v>
      </c>
      <c r="H913" s="132"/>
    </row>
    <row r="914" spans="1:8" s="292" customFormat="1" outlineLevel="3">
      <c r="A914" s="389"/>
      <c r="B914" s="389"/>
      <c r="C914" s="437">
        <v>2210302</v>
      </c>
      <c r="D914" s="326" t="s">
        <v>25</v>
      </c>
      <c r="E914" s="461">
        <v>900000</v>
      </c>
      <c r="F914" s="440">
        <f t="shared" si="850"/>
        <v>990000.00000000012</v>
      </c>
      <c r="G914" s="440">
        <f t="shared" si="850"/>
        <v>1089000.0000000002</v>
      </c>
      <c r="H914" s="132"/>
    </row>
    <row r="915" spans="1:8" s="292" customFormat="1" outlineLevel="3">
      <c r="A915" s="389"/>
      <c r="B915" s="389"/>
      <c r="C915" s="437">
        <v>2210303</v>
      </c>
      <c r="D915" s="339" t="s">
        <v>26</v>
      </c>
      <c r="E915" s="461">
        <v>400000</v>
      </c>
      <c r="F915" s="440">
        <f t="shared" si="850"/>
        <v>440000.00000000006</v>
      </c>
      <c r="G915" s="440">
        <f t="shared" si="850"/>
        <v>484000.00000000012</v>
      </c>
      <c r="H915" s="132"/>
    </row>
    <row r="916" spans="1:8" s="292" customFormat="1" outlineLevel="3">
      <c r="A916" s="386"/>
      <c r="B916" s="386"/>
      <c r="C916" s="437">
        <v>2210304</v>
      </c>
      <c r="D916" s="326" t="s">
        <v>27</v>
      </c>
      <c r="E916" s="461">
        <v>100000</v>
      </c>
      <c r="F916" s="440">
        <f t="shared" si="850"/>
        <v>110000.00000000001</v>
      </c>
      <c r="G916" s="440">
        <f t="shared" si="850"/>
        <v>121000.00000000003</v>
      </c>
      <c r="H916" s="132"/>
    </row>
    <row r="917" spans="1:8" s="292" customFormat="1" outlineLevel="3">
      <c r="A917" s="389"/>
      <c r="B917" s="389"/>
      <c r="C917" s="437">
        <v>2210310</v>
      </c>
      <c r="D917" s="339" t="s">
        <v>237</v>
      </c>
      <c r="E917" s="461">
        <v>150000</v>
      </c>
      <c r="F917" s="440">
        <f t="shared" si="850"/>
        <v>165000</v>
      </c>
      <c r="G917" s="440">
        <f t="shared" si="850"/>
        <v>181500.00000000003</v>
      </c>
      <c r="H917" s="132"/>
    </row>
    <row r="918" spans="1:8" s="292" customFormat="1" outlineLevel="3">
      <c r="A918" s="386"/>
      <c r="B918" s="386"/>
      <c r="C918" s="444">
        <v>2210500</v>
      </c>
      <c r="D918" s="445" t="s">
        <v>30</v>
      </c>
      <c r="E918" s="446">
        <f>E919</f>
        <v>900000</v>
      </c>
      <c r="F918" s="462">
        <f t="shared" ref="F918:G918" si="855">F919</f>
        <v>990000.00000000012</v>
      </c>
      <c r="G918" s="462">
        <f t="shared" si="855"/>
        <v>1089000.0000000002</v>
      </c>
      <c r="H918" s="132"/>
    </row>
    <row r="919" spans="1:8" s="292" customFormat="1" outlineLevel="3">
      <c r="A919" s="389"/>
      <c r="B919" s="389"/>
      <c r="C919" s="451">
        <v>2210505</v>
      </c>
      <c r="D919" s="346" t="s">
        <v>213</v>
      </c>
      <c r="E919" s="450">
        <v>900000</v>
      </c>
      <c r="F919" s="440">
        <f t="shared" ref="F919:G952" si="856">E919*1.1</f>
        <v>990000.00000000012</v>
      </c>
      <c r="G919" s="440">
        <f t="shared" si="856"/>
        <v>1089000.0000000002</v>
      </c>
      <c r="H919" s="132"/>
    </row>
    <row r="920" spans="1:8" s="292" customFormat="1" outlineLevel="3">
      <c r="A920" s="389"/>
      <c r="B920" s="389"/>
      <c r="C920" s="443">
        <v>2210700</v>
      </c>
      <c r="D920" s="463" t="s">
        <v>238</v>
      </c>
      <c r="E920" s="446">
        <f>E921+E922+E923+E924+E925+E926+E927+E928</f>
        <v>1476039</v>
      </c>
      <c r="F920" s="446">
        <f t="shared" ref="F920:G920" si="857">F922+F927+F928+F921+F923+F924+F925+F926</f>
        <v>1623642.9000000001</v>
      </c>
      <c r="G920" s="446">
        <f t="shared" si="857"/>
        <v>1786007.19</v>
      </c>
      <c r="H920" s="132"/>
    </row>
    <row r="921" spans="1:8" s="292" customFormat="1" outlineLevel="3">
      <c r="A921" s="389"/>
      <c r="B921" s="389"/>
      <c r="C921" s="389">
        <v>2210701</v>
      </c>
      <c r="D921" s="332" t="s">
        <v>35</v>
      </c>
      <c r="E921" s="450">
        <v>134039</v>
      </c>
      <c r="F921" s="440">
        <f t="shared" si="856"/>
        <v>147442.90000000002</v>
      </c>
      <c r="G921" s="440">
        <f t="shared" si="856"/>
        <v>162187.19000000003</v>
      </c>
      <c r="H921" s="132"/>
    </row>
    <row r="922" spans="1:8" s="292" customFormat="1" outlineLevel="3">
      <c r="A922" s="386"/>
      <c r="B922" s="386"/>
      <c r="C922" s="437">
        <v>2210702</v>
      </c>
      <c r="D922" s="332" t="s">
        <v>83</v>
      </c>
      <c r="E922" s="450">
        <v>100000</v>
      </c>
      <c r="F922" s="440">
        <f t="shared" si="856"/>
        <v>110000.00000000001</v>
      </c>
      <c r="G922" s="440">
        <f t="shared" si="856"/>
        <v>121000.00000000003</v>
      </c>
      <c r="H922" s="132"/>
    </row>
    <row r="923" spans="1:8" s="292" customFormat="1" outlineLevel="3">
      <c r="A923" s="464"/>
      <c r="B923" s="464"/>
      <c r="C923" s="389">
        <v>2210703</v>
      </c>
      <c r="D923" s="332" t="s">
        <v>166</v>
      </c>
      <c r="E923" s="450">
        <v>50000</v>
      </c>
      <c r="F923" s="440">
        <f t="shared" si="856"/>
        <v>55000.000000000007</v>
      </c>
      <c r="G923" s="440">
        <f t="shared" si="856"/>
        <v>60500.000000000015</v>
      </c>
      <c r="H923" s="132"/>
    </row>
    <row r="924" spans="1:8" s="292" customFormat="1" outlineLevel="3">
      <c r="A924" s="464"/>
      <c r="B924" s="464"/>
      <c r="C924" s="389">
        <v>2210704</v>
      </c>
      <c r="D924" s="332" t="s">
        <v>37</v>
      </c>
      <c r="E924" s="450">
        <v>75000</v>
      </c>
      <c r="F924" s="440">
        <f t="shared" si="856"/>
        <v>82500</v>
      </c>
      <c r="G924" s="440">
        <f t="shared" si="856"/>
        <v>90750.000000000015</v>
      </c>
      <c r="H924" s="132"/>
    </row>
    <row r="925" spans="1:8" s="292" customFormat="1" outlineLevel="3">
      <c r="A925" s="389"/>
      <c r="B925" s="389"/>
      <c r="C925" s="389">
        <v>2210710</v>
      </c>
      <c r="D925" s="332" t="s">
        <v>38</v>
      </c>
      <c r="E925" s="450">
        <v>150000</v>
      </c>
      <c r="F925" s="440">
        <f t="shared" si="856"/>
        <v>165000</v>
      </c>
      <c r="G925" s="440">
        <f t="shared" si="856"/>
        <v>181500.00000000003</v>
      </c>
      <c r="H925" s="132"/>
    </row>
    <row r="926" spans="1:8" s="292" customFormat="1" outlineLevel="3">
      <c r="A926" s="386"/>
      <c r="B926" s="386"/>
      <c r="C926" s="389" t="s">
        <v>215</v>
      </c>
      <c r="D926" s="332" t="s">
        <v>216</v>
      </c>
      <c r="E926" s="450">
        <v>250000</v>
      </c>
      <c r="F926" s="440">
        <f t="shared" si="856"/>
        <v>275000</v>
      </c>
      <c r="G926" s="440">
        <f t="shared" si="856"/>
        <v>302500</v>
      </c>
      <c r="H926" s="132"/>
    </row>
    <row r="927" spans="1:8" s="292" customFormat="1" outlineLevel="3">
      <c r="A927" s="386"/>
      <c r="B927" s="386"/>
      <c r="C927" s="437">
        <v>2210715</v>
      </c>
      <c r="D927" s="332" t="s">
        <v>39</v>
      </c>
      <c r="E927" s="450">
        <v>150000</v>
      </c>
      <c r="F927" s="440">
        <f t="shared" si="856"/>
        <v>165000</v>
      </c>
      <c r="G927" s="440">
        <f t="shared" si="856"/>
        <v>181500.00000000003</v>
      </c>
      <c r="H927" s="132"/>
    </row>
    <row r="928" spans="1:8" s="292" customFormat="1" ht="30" outlineLevel="3">
      <c r="A928" s="386"/>
      <c r="B928" s="386"/>
      <c r="C928" s="437">
        <v>2210799</v>
      </c>
      <c r="D928" s="339" t="s">
        <v>239</v>
      </c>
      <c r="E928" s="450">
        <v>567000</v>
      </c>
      <c r="F928" s="440">
        <f t="shared" si="856"/>
        <v>623700</v>
      </c>
      <c r="G928" s="440">
        <f t="shared" si="856"/>
        <v>686070</v>
      </c>
      <c r="H928" s="132"/>
    </row>
    <row r="929" spans="1:8" s="292" customFormat="1" outlineLevel="3">
      <c r="A929" s="386"/>
      <c r="B929" s="386"/>
      <c r="C929" s="443">
        <v>2210800</v>
      </c>
      <c r="D929" s="330" t="s">
        <v>41</v>
      </c>
      <c r="E929" s="446">
        <f>E930+E931+E932</f>
        <v>700000</v>
      </c>
      <c r="F929" s="446">
        <f t="shared" ref="F929:G929" si="858">F930+F931+F932</f>
        <v>770000</v>
      </c>
      <c r="G929" s="446">
        <f t="shared" si="858"/>
        <v>847000.00000000023</v>
      </c>
      <c r="H929" s="132"/>
    </row>
    <row r="930" spans="1:8" s="292" customFormat="1" ht="30" outlineLevel="3">
      <c r="A930" s="386"/>
      <c r="B930" s="386"/>
      <c r="C930" s="437">
        <v>2210801</v>
      </c>
      <c r="D930" s="326" t="s">
        <v>240</v>
      </c>
      <c r="E930" s="450">
        <v>300000</v>
      </c>
      <c r="F930" s="440">
        <f t="shared" ref="F930:G932" si="859">E930*1.1</f>
        <v>330000</v>
      </c>
      <c r="G930" s="440">
        <f t="shared" si="859"/>
        <v>363000.00000000006</v>
      </c>
      <c r="H930" s="132"/>
    </row>
    <row r="931" spans="1:8" s="292" customFormat="1" outlineLevel="3">
      <c r="A931" s="386"/>
      <c r="B931" s="386"/>
      <c r="C931" s="437">
        <v>2210802</v>
      </c>
      <c r="D931" s="326" t="s">
        <v>86</v>
      </c>
      <c r="E931" s="450">
        <v>50000</v>
      </c>
      <c r="F931" s="440">
        <f t="shared" si="859"/>
        <v>55000.000000000007</v>
      </c>
      <c r="G931" s="440">
        <f t="shared" si="859"/>
        <v>60500.000000000015</v>
      </c>
      <c r="H931" s="132"/>
    </row>
    <row r="932" spans="1:8" s="292" customFormat="1" outlineLevel="3">
      <c r="A932" s="386"/>
      <c r="B932" s="386"/>
      <c r="C932" s="355">
        <v>2210805</v>
      </c>
      <c r="D932" s="326" t="s">
        <v>241</v>
      </c>
      <c r="E932" s="450">
        <v>350000</v>
      </c>
      <c r="F932" s="440">
        <f t="shared" si="859"/>
        <v>385000.00000000006</v>
      </c>
      <c r="G932" s="440">
        <f t="shared" si="859"/>
        <v>423500.00000000012</v>
      </c>
      <c r="H932" s="132"/>
    </row>
    <row r="933" spans="1:8" s="292" customFormat="1" outlineLevel="3">
      <c r="A933" s="386"/>
      <c r="B933" s="386"/>
      <c r="C933" s="443">
        <v>2211000</v>
      </c>
      <c r="D933" s="463" t="s">
        <v>88</v>
      </c>
      <c r="E933" s="446">
        <f>E934</f>
        <v>200000</v>
      </c>
      <c r="F933" s="446">
        <f t="shared" ref="F933:G933" si="860">F934</f>
        <v>220000.00000000003</v>
      </c>
      <c r="G933" s="446">
        <f t="shared" si="860"/>
        <v>242000.00000000006</v>
      </c>
      <c r="H933" s="132"/>
    </row>
    <row r="934" spans="1:8" s="292" customFormat="1" ht="30" outlineLevel="3">
      <c r="A934" s="386"/>
      <c r="B934" s="386"/>
      <c r="C934" s="437">
        <v>2211031</v>
      </c>
      <c r="D934" s="339" t="s">
        <v>242</v>
      </c>
      <c r="E934" s="450">
        <v>200000</v>
      </c>
      <c r="F934" s="440">
        <f t="shared" ref="F934:G934" si="861">E934*1.1</f>
        <v>220000.00000000003</v>
      </c>
      <c r="G934" s="440">
        <f t="shared" si="861"/>
        <v>242000.00000000006</v>
      </c>
      <c r="H934" s="132"/>
    </row>
    <row r="935" spans="1:8" s="292" customFormat="1" outlineLevel="3">
      <c r="A935" s="386"/>
      <c r="B935" s="386"/>
      <c r="C935" s="443">
        <v>2211100</v>
      </c>
      <c r="D935" s="330" t="s">
        <v>49</v>
      </c>
      <c r="E935" s="446">
        <f>E936+E937</f>
        <v>250000</v>
      </c>
      <c r="F935" s="446">
        <f t="shared" ref="F935:G935" si="862">F936+F937</f>
        <v>275000</v>
      </c>
      <c r="G935" s="446">
        <f t="shared" si="862"/>
        <v>302500.00000000006</v>
      </c>
      <c r="H935" s="132"/>
    </row>
    <row r="936" spans="1:8" s="292" customFormat="1" ht="30" outlineLevel="3">
      <c r="A936" s="386"/>
      <c r="B936" s="386"/>
      <c r="C936" s="437">
        <v>2211101</v>
      </c>
      <c r="D936" s="326" t="s">
        <v>220</v>
      </c>
      <c r="E936" s="450">
        <v>150000</v>
      </c>
      <c r="F936" s="440">
        <f t="shared" ref="F936:G937" si="863">E936*1.1</f>
        <v>165000</v>
      </c>
      <c r="G936" s="440">
        <f t="shared" si="863"/>
        <v>181500.00000000003</v>
      </c>
      <c r="H936" s="132"/>
    </row>
    <row r="937" spans="1:8" s="292" customFormat="1" outlineLevel="3">
      <c r="A937" s="386"/>
      <c r="B937" s="386"/>
      <c r="C937" s="437">
        <v>2211102</v>
      </c>
      <c r="D937" s="326" t="s">
        <v>243</v>
      </c>
      <c r="E937" s="450">
        <v>100000</v>
      </c>
      <c r="F937" s="440">
        <f t="shared" si="863"/>
        <v>110000.00000000001</v>
      </c>
      <c r="G937" s="440">
        <f t="shared" si="863"/>
        <v>121000.00000000003</v>
      </c>
      <c r="H937" s="132"/>
    </row>
    <row r="938" spans="1:8" s="292" customFormat="1" outlineLevel="3">
      <c r="A938" s="386"/>
      <c r="B938" s="386"/>
      <c r="C938" s="443">
        <v>2211200</v>
      </c>
      <c r="D938" s="330" t="s">
        <v>53</v>
      </c>
      <c r="E938" s="446">
        <f>E939+E940</f>
        <v>500000</v>
      </c>
      <c r="F938" s="446">
        <f t="shared" ref="F938:G938" si="864">F939+F940</f>
        <v>550000</v>
      </c>
      <c r="G938" s="446">
        <f t="shared" si="864"/>
        <v>605000.00000000012</v>
      </c>
      <c r="H938" s="132"/>
    </row>
    <row r="939" spans="1:8" s="292" customFormat="1" outlineLevel="3">
      <c r="A939" s="386"/>
      <c r="B939" s="386"/>
      <c r="C939" s="437">
        <v>2211201</v>
      </c>
      <c r="D939" s="326" t="s">
        <v>91</v>
      </c>
      <c r="E939" s="450">
        <v>300000</v>
      </c>
      <c r="F939" s="440">
        <f t="shared" ref="F939:G940" si="865">E939*1.1</f>
        <v>330000</v>
      </c>
      <c r="G939" s="440">
        <f t="shared" si="865"/>
        <v>363000.00000000006</v>
      </c>
      <c r="H939" s="132"/>
    </row>
    <row r="940" spans="1:8" s="292" customFormat="1" outlineLevel="3">
      <c r="A940" s="386"/>
      <c r="B940" s="386"/>
      <c r="C940" s="389" t="s">
        <v>222</v>
      </c>
      <c r="D940" s="332" t="s">
        <v>223</v>
      </c>
      <c r="E940" s="450">
        <v>200000</v>
      </c>
      <c r="F940" s="440">
        <f t="shared" si="865"/>
        <v>220000.00000000003</v>
      </c>
      <c r="G940" s="440">
        <f t="shared" si="865"/>
        <v>242000.00000000006</v>
      </c>
      <c r="H940" s="132"/>
    </row>
    <row r="941" spans="1:8" s="292" customFormat="1" outlineLevel="3">
      <c r="A941" s="386"/>
      <c r="B941" s="386"/>
      <c r="C941" s="443">
        <v>2211300</v>
      </c>
      <c r="D941" s="700" t="s">
        <v>55</v>
      </c>
      <c r="E941" s="446">
        <f>E942+E943</f>
        <v>300000</v>
      </c>
      <c r="F941" s="446">
        <f t="shared" ref="F941:G941" si="866">F942+F943</f>
        <v>330000</v>
      </c>
      <c r="G941" s="446">
        <f t="shared" si="866"/>
        <v>363000.00000000006</v>
      </c>
      <c r="H941" s="132"/>
    </row>
    <row r="942" spans="1:8" s="292" customFormat="1" outlineLevel="3">
      <c r="A942" s="386"/>
      <c r="B942" s="386"/>
      <c r="C942" s="437">
        <v>2211313</v>
      </c>
      <c r="D942" s="339" t="s">
        <v>244</v>
      </c>
      <c r="E942" s="450">
        <v>150000</v>
      </c>
      <c r="F942" s="440">
        <f t="shared" ref="F942:G943" si="867">E942*1.1</f>
        <v>165000</v>
      </c>
      <c r="G942" s="440">
        <f t="shared" si="867"/>
        <v>181500.00000000003</v>
      </c>
      <c r="H942" s="132"/>
    </row>
    <row r="943" spans="1:8" s="292" customFormat="1" outlineLevel="3">
      <c r="A943" s="386"/>
      <c r="B943" s="386"/>
      <c r="C943" s="437">
        <v>2211399</v>
      </c>
      <c r="D943" s="339" t="s">
        <v>245</v>
      </c>
      <c r="E943" s="450">
        <v>150000</v>
      </c>
      <c r="F943" s="440">
        <f t="shared" si="867"/>
        <v>165000</v>
      </c>
      <c r="G943" s="440">
        <f t="shared" si="867"/>
        <v>181500.00000000003</v>
      </c>
      <c r="H943" s="132"/>
    </row>
    <row r="944" spans="1:8" s="292" customFormat="1" ht="30" outlineLevel="3">
      <c r="A944" s="386"/>
      <c r="B944" s="386"/>
      <c r="C944" s="443">
        <v>2220100</v>
      </c>
      <c r="D944" s="445" t="s">
        <v>246</v>
      </c>
      <c r="E944" s="446">
        <f>E945</f>
        <v>200000</v>
      </c>
      <c r="F944" s="446">
        <f t="shared" ref="F944:G944" si="868">F945</f>
        <v>220000.00000000003</v>
      </c>
      <c r="G944" s="446">
        <f t="shared" si="868"/>
        <v>242000.00000000006</v>
      </c>
      <c r="H944" s="132"/>
    </row>
    <row r="945" spans="1:8" s="292" customFormat="1" outlineLevel="3">
      <c r="A945" s="386"/>
      <c r="B945" s="386"/>
      <c r="C945" s="451">
        <v>2220101</v>
      </c>
      <c r="D945" s="346" t="s">
        <v>225</v>
      </c>
      <c r="E945" s="450">
        <v>200000</v>
      </c>
      <c r="F945" s="440">
        <f t="shared" ref="F945:G945" si="869">E945*1.1</f>
        <v>220000.00000000003</v>
      </c>
      <c r="G945" s="440">
        <f t="shared" si="869"/>
        <v>242000.00000000006</v>
      </c>
      <c r="H945" s="132"/>
    </row>
    <row r="946" spans="1:8" s="292" customFormat="1" outlineLevel="3">
      <c r="A946" s="386"/>
      <c r="B946" s="386"/>
      <c r="C946" s="386">
        <v>2220200</v>
      </c>
      <c r="D946" s="333" t="s">
        <v>114</v>
      </c>
      <c r="E946" s="446">
        <f>E947+E948</f>
        <v>100000</v>
      </c>
      <c r="F946" s="446">
        <f t="shared" ref="F946:G946" si="870">F947+F948</f>
        <v>110000</v>
      </c>
      <c r="G946" s="446">
        <f t="shared" si="870"/>
        <v>121000</v>
      </c>
      <c r="H946" s="132"/>
    </row>
    <row r="947" spans="1:8" s="292" customFormat="1" outlineLevel="3">
      <c r="A947" s="386"/>
      <c r="B947" s="386"/>
      <c r="C947" s="389">
        <v>2220202</v>
      </c>
      <c r="D947" s="332" t="s">
        <v>63</v>
      </c>
      <c r="E947" s="450">
        <v>70000</v>
      </c>
      <c r="F947" s="440">
        <f t="shared" ref="F947:G948" si="871">E947*1.1</f>
        <v>77000</v>
      </c>
      <c r="G947" s="440">
        <f t="shared" si="871"/>
        <v>84700</v>
      </c>
      <c r="H947" s="132"/>
    </row>
    <row r="948" spans="1:8" s="292" customFormat="1" outlineLevel="3">
      <c r="A948" s="386"/>
      <c r="B948" s="386"/>
      <c r="C948" s="389">
        <v>2220205</v>
      </c>
      <c r="D948" s="332" t="s">
        <v>180</v>
      </c>
      <c r="E948" s="450">
        <v>30000</v>
      </c>
      <c r="F948" s="440">
        <f t="shared" si="871"/>
        <v>33000</v>
      </c>
      <c r="G948" s="440">
        <f t="shared" si="871"/>
        <v>36300</v>
      </c>
      <c r="H948" s="132"/>
    </row>
    <row r="949" spans="1:8" s="292" customFormat="1" outlineLevel="3">
      <c r="A949" s="389"/>
      <c r="B949" s="389"/>
      <c r="C949" s="443">
        <v>3111000</v>
      </c>
      <c r="D949" s="330" t="s">
        <v>247</v>
      </c>
      <c r="E949" s="446">
        <f>E950+E951+E952</f>
        <v>200000</v>
      </c>
      <c r="F949" s="446">
        <f t="shared" ref="F949:G949" si="872">F950+F951+F952</f>
        <v>220000.00000000003</v>
      </c>
      <c r="G949" s="446">
        <f t="shared" si="872"/>
        <v>242000.00000000006</v>
      </c>
      <c r="H949" s="132"/>
    </row>
    <row r="950" spans="1:8" s="292" customFormat="1" outlineLevel="3">
      <c r="A950" s="389"/>
      <c r="B950" s="389"/>
      <c r="C950" s="437">
        <v>3111001</v>
      </c>
      <c r="D950" s="326" t="s">
        <v>226</v>
      </c>
      <c r="E950" s="450">
        <v>50000</v>
      </c>
      <c r="F950" s="440">
        <f t="shared" si="856"/>
        <v>55000.000000000007</v>
      </c>
      <c r="G950" s="440">
        <f t="shared" si="856"/>
        <v>60500.000000000015</v>
      </c>
      <c r="H950" s="132"/>
    </row>
    <row r="951" spans="1:8" s="292" customFormat="1" outlineLevel="3">
      <c r="A951" s="389"/>
      <c r="B951" s="389"/>
      <c r="C951" s="389">
        <v>3111002</v>
      </c>
      <c r="D951" s="332" t="s">
        <v>67</v>
      </c>
      <c r="E951" s="450">
        <v>100000</v>
      </c>
      <c r="F951" s="440">
        <f t="shared" si="856"/>
        <v>110000.00000000001</v>
      </c>
      <c r="G951" s="440">
        <f t="shared" si="856"/>
        <v>121000.00000000003</v>
      </c>
      <c r="H951" s="132"/>
    </row>
    <row r="952" spans="1:8" s="292" customFormat="1" outlineLevel="3">
      <c r="A952" s="386"/>
      <c r="B952" s="386"/>
      <c r="C952" s="389">
        <v>3111009</v>
      </c>
      <c r="D952" s="332" t="s">
        <v>227</v>
      </c>
      <c r="E952" s="450">
        <v>50000</v>
      </c>
      <c r="F952" s="440">
        <f t="shared" si="856"/>
        <v>55000.000000000007</v>
      </c>
      <c r="G952" s="440">
        <f t="shared" si="856"/>
        <v>60500.000000000015</v>
      </c>
      <c r="H952" s="132"/>
    </row>
    <row r="953" spans="1:8" s="292" customFormat="1" outlineLevel="2">
      <c r="A953" s="465"/>
      <c r="B953" s="465"/>
      <c r="C953" s="439"/>
      <c r="D953" s="317" t="s">
        <v>228</v>
      </c>
      <c r="E953" s="466">
        <f>E949+E946+E944+E941+E938+E935+E933+E929+E920+E918+E913+E910+E907+E905</f>
        <v>24480343.037</v>
      </c>
      <c r="F953" s="466">
        <f t="shared" ref="F953:G953" si="873">F949+F946+F944+F941+F938+F935+F933+F929+F920+F918+F913+F910+F907+F905</f>
        <v>26905377.340700001</v>
      </c>
      <c r="G953" s="466">
        <f t="shared" si="873"/>
        <v>29595915.074770004</v>
      </c>
      <c r="H953" s="132"/>
    </row>
    <row r="954" spans="1:8" s="292" customFormat="1" outlineLevel="2">
      <c r="A954" s="465"/>
      <c r="B954" s="465"/>
      <c r="C954" s="438"/>
      <c r="D954" s="317"/>
      <c r="E954" s="466"/>
      <c r="F954" s="440">
        <f t="shared" ref="F954:G967" si="874">E954*1.1</f>
        <v>0</v>
      </c>
      <c r="G954" s="440">
        <f t="shared" si="874"/>
        <v>0</v>
      </c>
      <c r="H954" s="132"/>
    </row>
    <row r="955" spans="1:8" s="292" customFormat="1" outlineLevel="2">
      <c r="A955" s="465"/>
      <c r="B955" s="465"/>
      <c r="C955" s="438"/>
      <c r="D955" s="317" t="s">
        <v>248</v>
      </c>
      <c r="E955" s="466"/>
      <c r="F955" s="440"/>
      <c r="G955" s="440"/>
      <c r="H955" s="132"/>
    </row>
    <row r="956" spans="1:8" s="292" customFormat="1" outlineLevel="3">
      <c r="A956" s="389"/>
      <c r="B956" s="467"/>
      <c r="C956" s="443">
        <v>3111400</v>
      </c>
      <c r="D956" s="330" t="s">
        <v>248</v>
      </c>
      <c r="E956" s="468"/>
      <c r="F956" s="440"/>
      <c r="G956" s="440"/>
      <c r="H956" s="132"/>
    </row>
    <row r="957" spans="1:8" s="292" customFormat="1" ht="30" outlineLevel="3">
      <c r="A957" s="389"/>
      <c r="B957" s="467"/>
      <c r="C957" s="437">
        <v>3111404</v>
      </c>
      <c r="D957" s="326" t="s">
        <v>249</v>
      </c>
      <c r="E957" s="468">
        <v>1000000</v>
      </c>
      <c r="F957" s="440">
        <f>E957*1.1</f>
        <v>1100000</v>
      </c>
      <c r="G957" s="440">
        <f>F957*1.1</f>
        <v>1210000</v>
      </c>
      <c r="H957" s="132"/>
    </row>
    <row r="958" spans="1:8" s="292" customFormat="1" outlineLevel="3">
      <c r="A958" s="389"/>
      <c r="B958" s="467"/>
      <c r="C958" s="437">
        <v>3111404</v>
      </c>
      <c r="D958" s="326" t="s">
        <v>250</v>
      </c>
      <c r="E958" s="468">
        <v>1500000</v>
      </c>
      <c r="F958" s="440">
        <f t="shared" ref="F958:G960" si="875">E958*1.1</f>
        <v>1650000.0000000002</v>
      </c>
      <c r="G958" s="440">
        <f t="shared" si="875"/>
        <v>1815000.0000000005</v>
      </c>
      <c r="H958" s="132"/>
    </row>
    <row r="959" spans="1:8" s="292" customFormat="1" ht="30" outlineLevel="3">
      <c r="A959" s="389"/>
      <c r="B959" s="467"/>
      <c r="C959" s="437">
        <v>3111404</v>
      </c>
      <c r="D959" s="326" t="s">
        <v>251</v>
      </c>
      <c r="E959" s="468">
        <v>2000000</v>
      </c>
      <c r="F959" s="440">
        <f t="shared" si="875"/>
        <v>2200000</v>
      </c>
      <c r="G959" s="440">
        <f t="shared" si="875"/>
        <v>2420000</v>
      </c>
      <c r="H959" s="132"/>
    </row>
    <row r="960" spans="1:8" s="292" customFormat="1" outlineLevel="3">
      <c r="A960" s="389"/>
      <c r="B960" s="467"/>
      <c r="C960" s="437">
        <v>3111404</v>
      </c>
      <c r="D960" s="326" t="s">
        <v>252</v>
      </c>
      <c r="E960" s="468">
        <v>1500000</v>
      </c>
      <c r="F960" s="440">
        <f t="shared" si="875"/>
        <v>1650000.0000000002</v>
      </c>
      <c r="G960" s="440">
        <f t="shared" si="875"/>
        <v>1815000.0000000005</v>
      </c>
      <c r="H960" s="132"/>
    </row>
    <row r="961" spans="1:8" s="292" customFormat="1" outlineLevel="3">
      <c r="A961" s="389"/>
      <c r="B961" s="467"/>
      <c r="C961" s="437"/>
      <c r="D961" s="330" t="s">
        <v>253</v>
      </c>
      <c r="E961" s="462">
        <f>E960+E959+E958+E957</f>
        <v>6000000</v>
      </c>
      <c r="F961" s="462">
        <f>F960+F959+F958+F957</f>
        <v>6600000</v>
      </c>
      <c r="G961" s="462">
        <f>G960+G959+G958+G957</f>
        <v>7260000</v>
      </c>
      <c r="H961" s="132"/>
    </row>
    <row r="962" spans="1:8" s="292" customFormat="1" outlineLevel="1">
      <c r="A962" s="465"/>
      <c r="B962" s="465"/>
      <c r="C962" s="438"/>
      <c r="D962" s="317" t="s">
        <v>254</v>
      </c>
      <c r="E962" s="466">
        <f>E953+E961</f>
        <v>30480343.037</v>
      </c>
      <c r="F962" s="466">
        <f>F953+F961</f>
        <v>33505377.340700001</v>
      </c>
      <c r="G962" s="466">
        <f>G953+G961</f>
        <v>36855915.074770004</v>
      </c>
      <c r="H962" s="132"/>
    </row>
    <row r="963" spans="1:8" s="292" customFormat="1" outlineLevel="1">
      <c r="A963" s="389"/>
      <c r="B963" s="389"/>
      <c r="C963" s="437"/>
      <c r="D963" s="326"/>
      <c r="E963" s="460"/>
      <c r="F963" s="440">
        <f t="shared" si="874"/>
        <v>0</v>
      </c>
      <c r="G963" s="440">
        <f t="shared" si="874"/>
        <v>0</v>
      </c>
      <c r="H963" s="132"/>
    </row>
    <row r="964" spans="1:8" s="292" customFormat="1" outlineLevel="1">
      <c r="A964" s="389"/>
      <c r="B964" s="389"/>
      <c r="C964" s="443" t="s">
        <v>255</v>
      </c>
      <c r="D964" s="330"/>
      <c r="E964" s="460"/>
      <c r="F964" s="440">
        <f t="shared" si="874"/>
        <v>0</v>
      </c>
      <c r="G964" s="440">
        <f t="shared" si="874"/>
        <v>0</v>
      </c>
      <c r="H964" s="132"/>
    </row>
    <row r="965" spans="1:8" s="292" customFormat="1" outlineLevel="1">
      <c r="A965" s="386"/>
      <c r="B965" s="386" t="s">
        <v>98</v>
      </c>
      <c r="C965" s="443" t="s">
        <v>256</v>
      </c>
      <c r="D965" s="330"/>
      <c r="E965" s="469"/>
      <c r="F965" s="440">
        <f t="shared" si="874"/>
        <v>0</v>
      </c>
      <c r="G965" s="440">
        <f t="shared" si="874"/>
        <v>0</v>
      </c>
      <c r="H965" s="132"/>
    </row>
    <row r="966" spans="1:8" s="292" customFormat="1" outlineLevel="3">
      <c r="A966" s="386"/>
      <c r="B966" s="386"/>
      <c r="C966" s="443">
        <v>2110100</v>
      </c>
      <c r="D966" s="330" t="s">
        <v>257</v>
      </c>
      <c r="E966" s="462">
        <f>E967</f>
        <v>31556304.274</v>
      </c>
      <c r="F966" s="462">
        <f t="shared" ref="F966:G966" si="876">F967</f>
        <v>34711934.701400004</v>
      </c>
      <c r="G966" s="462">
        <f t="shared" si="876"/>
        <v>38183128.171540007</v>
      </c>
      <c r="H966" s="132"/>
    </row>
    <row r="967" spans="1:8" s="292" customFormat="1" outlineLevel="3">
      <c r="A967" s="389" t="s">
        <v>233</v>
      </c>
      <c r="B967" s="389"/>
      <c r="C967" s="437">
        <v>2110101</v>
      </c>
      <c r="D967" s="326" t="s">
        <v>258</v>
      </c>
      <c r="E967" s="468">
        <v>31556304.274</v>
      </c>
      <c r="F967" s="440">
        <f t="shared" si="874"/>
        <v>34711934.701400004</v>
      </c>
      <c r="G967" s="440">
        <f t="shared" si="874"/>
        <v>38183128.171540007</v>
      </c>
      <c r="H967" s="132"/>
    </row>
    <row r="968" spans="1:8" s="292" customFormat="1" outlineLevel="3">
      <c r="A968" s="389"/>
      <c r="B968" s="389"/>
      <c r="C968" s="443">
        <v>2210100</v>
      </c>
      <c r="D968" s="330" t="s">
        <v>235</v>
      </c>
      <c r="E968" s="446">
        <f>E969+E970</f>
        <v>230000</v>
      </c>
      <c r="F968" s="446">
        <f t="shared" ref="F968:G968" si="877">F969+F970</f>
        <v>230000</v>
      </c>
      <c r="G968" s="446">
        <f t="shared" si="877"/>
        <v>253000</v>
      </c>
      <c r="H968" s="132"/>
    </row>
    <row r="969" spans="1:8" s="292" customFormat="1" outlineLevel="3">
      <c r="A969" s="389"/>
      <c r="B969" s="389"/>
      <c r="C969" s="437">
        <v>2210101</v>
      </c>
      <c r="D969" s="326" t="s">
        <v>17</v>
      </c>
      <c r="E969" s="450">
        <v>150000</v>
      </c>
      <c r="F969" s="440">
        <v>150000</v>
      </c>
      <c r="G969" s="440">
        <f t="shared" ref="G969:G970" si="878">F969*1.1</f>
        <v>165000</v>
      </c>
      <c r="H969" s="132"/>
    </row>
    <row r="970" spans="1:8" s="292" customFormat="1" outlineLevel="3">
      <c r="A970" s="389"/>
      <c r="B970" s="389"/>
      <c r="C970" s="437">
        <v>2210102</v>
      </c>
      <c r="D970" s="326" t="s">
        <v>18</v>
      </c>
      <c r="E970" s="450">
        <v>80000</v>
      </c>
      <c r="F970" s="440">
        <v>80000</v>
      </c>
      <c r="G970" s="440">
        <f t="shared" si="878"/>
        <v>88000</v>
      </c>
      <c r="H970" s="132"/>
    </row>
    <row r="971" spans="1:8" s="292" customFormat="1" ht="30" outlineLevel="3">
      <c r="A971" s="386"/>
      <c r="B971" s="386"/>
      <c r="C971" s="443">
        <v>2210300</v>
      </c>
      <c r="D971" s="330" t="s">
        <v>23</v>
      </c>
      <c r="E971" s="462">
        <f>E972+E973+E974</f>
        <v>750000</v>
      </c>
      <c r="F971" s="462">
        <f t="shared" ref="F971:G971" si="879">F972+F973+F974</f>
        <v>825000</v>
      </c>
      <c r="G971" s="462">
        <f t="shared" si="879"/>
        <v>907500.00000000023</v>
      </c>
      <c r="H971" s="132"/>
    </row>
    <row r="972" spans="1:8" s="292" customFormat="1" outlineLevel="3">
      <c r="A972" s="389"/>
      <c r="B972" s="389"/>
      <c r="C972" s="437">
        <v>2210302</v>
      </c>
      <c r="D972" s="326" t="s">
        <v>25</v>
      </c>
      <c r="E972" s="468">
        <v>400000</v>
      </c>
      <c r="F972" s="440">
        <f t="shared" ref="F972:G1009" si="880">E972*1.1</f>
        <v>440000.00000000006</v>
      </c>
      <c r="G972" s="440">
        <f t="shared" si="880"/>
        <v>484000.00000000012</v>
      </c>
      <c r="H972" s="132"/>
    </row>
    <row r="973" spans="1:8" s="292" customFormat="1" outlineLevel="3">
      <c r="A973" s="389"/>
      <c r="B973" s="389"/>
      <c r="C973" s="437">
        <v>2210303</v>
      </c>
      <c r="D973" s="326" t="s">
        <v>259</v>
      </c>
      <c r="E973" s="468">
        <v>300000</v>
      </c>
      <c r="F973" s="440">
        <f t="shared" si="880"/>
        <v>330000</v>
      </c>
      <c r="G973" s="440">
        <f t="shared" si="880"/>
        <v>363000.00000000006</v>
      </c>
      <c r="H973" s="132"/>
    </row>
    <row r="974" spans="1:8" s="292" customFormat="1" outlineLevel="3">
      <c r="A974" s="389"/>
      <c r="B974" s="389"/>
      <c r="C974" s="437">
        <v>2210304</v>
      </c>
      <c r="D974" s="326" t="s">
        <v>27</v>
      </c>
      <c r="E974" s="468">
        <v>50000</v>
      </c>
      <c r="F974" s="440">
        <f t="shared" si="880"/>
        <v>55000.000000000007</v>
      </c>
      <c r="G974" s="440">
        <f t="shared" si="880"/>
        <v>60500.000000000015</v>
      </c>
      <c r="H974" s="132"/>
    </row>
    <row r="975" spans="1:8" s="292" customFormat="1" outlineLevel="3">
      <c r="A975" s="389"/>
      <c r="B975" s="389"/>
      <c r="C975" s="443">
        <v>2210500</v>
      </c>
      <c r="D975" s="330" t="s">
        <v>30</v>
      </c>
      <c r="E975" s="462">
        <f>E976+E977+E978+E979</f>
        <v>1450000</v>
      </c>
      <c r="F975" s="462">
        <f>F976+F977+F978+F979</f>
        <v>1595000</v>
      </c>
      <c r="G975" s="462">
        <f>G976+G977+G978+G979</f>
        <v>1754500</v>
      </c>
      <c r="H975" s="132"/>
    </row>
    <row r="976" spans="1:8" s="292" customFormat="1" outlineLevel="3">
      <c r="A976" s="389"/>
      <c r="B976" s="389"/>
      <c r="C976" s="355">
        <v>2210502</v>
      </c>
      <c r="D976" s="326" t="s">
        <v>162</v>
      </c>
      <c r="E976" s="468">
        <v>150000</v>
      </c>
      <c r="F976" s="440">
        <f t="shared" ref="F976:G979" si="881">E976*1.1</f>
        <v>165000</v>
      </c>
      <c r="G976" s="440">
        <f t="shared" si="881"/>
        <v>181500.00000000003</v>
      </c>
      <c r="H976" s="132"/>
    </row>
    <row r="977" spans="1:8" s="292" customFormat="1" ht="45" outlineLevel="3">
      <c r="A977" s="389"/>
      <c r="B977" s="389"/>
      <c r="C977" s="355">
        <v>2210504</v>
      </c>
      <c r="D977" s="326" t="s">
        <v>260</v>
      </c>
      <c r="E977" s="468">
        <v>250000</v>
      </c>
      <c r="F977" s="440">
        <f t="shared" si="881"/>
        <v>275000</v>
      </c>
      <c r="G977" s="440">
        <f t="shared" si="881"/>
        <v>302500</v>
      </c>
      <c r="H977" s="132"/>
    </row>
    <row r="978" spans="1:8" s="292" customFormat="1" ht="30" outlineLevel="3">
      <c r="A978" s="389"/>
      <c r="B978" s="389"/>
      <c r="C978" s="437">
        <v>2210505</v>
      </c>
      <c r="D978" s="326" t="s">
        <v>261</v>
      </c>
      <c r="E978" s="468">
        <v>1000000</v>
      </c>
      <c r="F978" s="440">
        <f t="shared" si="881"/>
        <v>1100000</v>
      </c>
      <c r="G978" s="440">
        <f t="shared" si="881"/>
        <v>1210000</v>
      </c>
      <c r="H978" s="132"/>
    </row>
    <row r="979" spans="1:8" s="292" customFormat="1" outlineLevel="3">
      <c r="A979" s="389"/>
      <c r="B979" s="389"/>
      <c r="C979" s="355">
        <v>2210599</v>
      </c>
      <c r="D979" s="326" t="s">
        <v>262</v>
      </c>
      <c r="E979" s="468">
        <v>50000</v>
      </c>
      <c r="F979" s="440">
        <f t="shared" si="881"/>
        <v>55000.000000000007</v>
      </c>
      <c r="G979" s="440">
        <f t="shared" si="881"/>
        <v>60500.000000000015</v>
      </c>
      <c r="H979" s="132"/>
    </row>
    <row r="980" spans="1:8" s="292" customFormat="1" outlineLevel="3">
      <c r="A980" s="389"/>
      <c r="B980" s="389"/>
      <c r="C980" s="443">
        <v>2210700</v>
      </c>
      <c r="D980" s="463" t="s">
        <v>238</v>
      </c>
      <c r="E980" s="446">
        <f>E981+E982+E983+E984+E985+E986+E987</f>
        <v>1105000</v>
      </c>
      <c r="F980" s="446">
        <f t="shared" ref="F980:G980" si="882">F981+F982+F983+F984+F985+F986+F987</f>
        <v>1215500</v>
      </c>
      <c r="G980" s="446">
        <f t="shared" si="882"/>
        <v>1337050.0000000002</v>
      </c>
      <c r="H980" s="132"/>
    </row>
    <row r="981" spans="1:8" s="292" customFormat="1" outlineLevel="3">
      <c r="A981" s="389"/>
      <c r="B981" s="389"/>
      <c r="C981" s="389">
        <v>2210701</v>
      </c>
      <c r="D981" s="332" t="s">
        <v>35</v>
      </c>
      <c r="E981" s="450">
        <v>300000</v>
      </c>
      <c r="F981" s="440">
        <f t="shared" ref="F981:G987" si="883">E981*1.1</f>
        <v>330000</v>
      </c>
      <c r="G981" s="440">
        <f t="shared" si="883"/>
        <v>363000.00000000006</v>
      </c>
      <c r="H981" s="132"/>
    </row>
    <row r="982" spans="1:8" s="292" customFormat="1" outlineLevel="3">
      <c r="A982" s="386"/>
      <c r="B982" s="386"/>
      <c r="C982" s="437">
        <v>2210702</v>
      </c>
      <c r="D982" s="332" t="s">
        <v>83</v>
      </c>
      <c r="E982" s="450">
        <v>50000</v>
      </c>
      <c r="F982" s="440">
        <f t="shared" si="883"/>
        <v>55000.000000000007</v>
      </c>
      <c r="G982" s="440">
        <f t="shared" si="883"/>
        <v>60500.000000000015</v>
      </c>
      <c r="H982" s="132"/>
    </row>
    <row r="983" spans="1:8" s="292" customFormat="1" outlineLevel="3">
      <c r="A983" s="464"/>
      <c r="B983" s="464"/>
      <c r="C983" s="389">
        <v>2210703</v>
      </c>
      <c r="D983" s="332" t="s">
        <v>166</v>
      </c>
      <c r="E983" s="450">
        <v>50000</v>
      </c>
      <c r="F983" s="440">
        <f t="shared" si="883"/>
        <v>55000.000000000007</v>
      </c>
      <c r="G983" s="440">
        <f t="shared" si="883"/>
        <v>60500.000000000015</v>
      </c>
      <c r="H983" s="132"/>
    </row>
    <row r="984" spans="1:8" s="292" customFormat="1" outlineLevel="3">
      <c r="A984" s="441"/>
      <c r="B984" s="441"/>
      <c r="C984" s="389">
        <v>2210704</v>
      </c>
      <c r="D984" s="332" t="s">
        <v>37</v>
      </c>
      <c r="E984" s="450">
        <v>25000</v>
      </c>
      <c r="F984" s="440">
        <f t="shared" si="883"/>
        <v>27500.000000000004</v>
      </c>
      <c r="G984" s="440">
        <f t="shared" si="883"/>
        <v>30250.000000000007</v>
      </c>
      <c r="H984" s="132"/>
    </row>
    <row r="985" spans="1:8" s="292" customFormat="1" outlineLevel="3">
      <c r="A985" s="441"/>
      <c r="B985" s="441"/>
      <c r="C985" s="451">
        <v>2210710</v>
      </c>
      <c r="D985" s="346" t="s">
        <v>38</v>
      </c>
      <c r="E985" s="450">
        <v>350000</v>
      </c>
      <c r="F985" s="440">
        <f t="shared" si="883"/>
        <v>385000.00000000006</v>
      </c>
      <c r="G985" s="440">
        <f t="shared" si="883"/>
        <v>423500.00000000012</v>
      </c>
      <c r="H985" s="132"/>
    </row>
    <row r="986" spans="1:8" s="292" customFormat="1" outlineLevel="3">
      <c r="A986" s="443"/>
      <c r="B986" s="443"/>
      <c r="C986" s="389" t="s">
        <v>215</v>
      </c>
      <c r="D986" s="332" t="s">
        <v>216</v>
      </c>
      <c r="E986" s="450">
        <v>150000</v>
      </c>
      <c r="F986" s="440">
        <f t="shared" si="883"/>
        <v>165000</v>
      </c>
      <c r="G986" s="440">
        <f t="shared" si="883"/>
        <v>181500.00000000003</v>
      </c>
      <c r="H986" s="132"/>
    </row>
    <row r="987" spans="1:8" s="292" customFormat="1" outlineLevel="3">
      <c r="A987" s="441"/>
      <c r="B987" s="441"/>
      <c r="C987" s="437">
        <v>2210715</v>
      </c>
      <c r="D987" s="326" t="s">
        <v>39</v>
      </c>
      <c r="E987" s="450">
        <v>180000</v>
      </c>
      <c r="F987" s="440">
        <f t="shared" si="883"/>
        <v>198000.00000000003</v>
      </c>
      <c r="G987" s="440">
        <f t="shared" si="883"/>
        <v>217800.00000000006</v>
      </c>
      <c r="H987" s="132"/>
    </row>
    <row r="988" spans="1:8" s="292" customFormat="1" outlineLevel="3">
      <c r="A988" s="389"/>
      <c r="B988" s="389"/>
      <c r="C988" s="443">
        <v>2210800</v>
      </c>
      <c r="D988" s="330" t="s">
        <v>263</v>
      </c>
      <c r="E988" s="462">
        <f>E989+E990+E991+E992</f>
        <v>692000</v>
      </c>
      <c r="F988" s="462">
        <f>F989+F990+F991+F992</f>
        <v>761200</v>
      </c>
      <c r="G988" s="462">
        <f>G989+G990+G991+G992</f>
        <v>837320</v>
      </c>
      <c r="H988" s="132"/>
    </row>
    <row r="989" spans="1:8" s="292" customFormat="1" ht="30" outlineLevel="3">
      <c r="A989" s="389"/>
      <c r="B989" s="389"/>
      <c r="C989" s="355">
        <v>2210801</v>
      </c>
      <c r="D989" s="326" t="s">
        <v>240</v>
      </c>
      <c r="E989" s="468">
        <v>250000</v>
      </c>
      <c r="F989" s="440">
        <f t="shared" ref="F989:G992" si="884">E989*1.1</f>
        <v>275000</v>
      </c>
      <c r="G989" s="440">
        <f t="shared" si="884"/>
        <v>302500</v>
      </c>
      <c r="H989" s="132"/>
    </row>
    <row r="990" spans="1:8" s="292" customFormat="1" outlineLevel="3">
      <c r="A990" s="389"/>
      <c r="B990" s="389"/>
      <c r="C990" s="355">
        <v>2210802</v>
      </c>
      <c r="D990" s="326" t="s">
        <v>86</v>
      </c>
      <c r="E990" s="468">
        <v>50000</v>
      </c>
      <c r="F990" s="440">
        <f t="shared" si="884"/>
        <v>55000.000000000007</v>
      </c>
      <c r="G990" s="440">
        <f t="shared" si="884"/>
        <v>60500.000000000015</v>
      </c>
      <c r="H990" s="132"/>
    </row>
    <row r="991" spans="1:8" s="292" customFormat="1" outlineLevel="3">
      <c r="A991" s="389"/>
      <c r="B991" s="389"/>
      <c r="C991" s="355">
        <v>2210805</v>
      </c>
      <c r="D991" s="326" t="s">
        <v>264</v>
      </c>
      <c r="E991" s="468">
        <v>242000</v>
      </c>
      <c r="F991" s="440">
        <f t="shared" si="884"/>
        <v>266200</v>
      </c>
      <c r="G991" s="440">
        <f t="shared" si="884"/>
        <v>292820</v>
      </c>
      <c r="H991" s="132"/>
    </row>
    <row r="992" spans="1:8" s="292" customFormat="1" outlineLevel="3">
      <c r="A992" s="389"/>
      <c r="B992" s="389"/>
      <c r="C992" s="355">
        <v>2210899</v>
      </c>
      <c r="D992" s="326" t="s">
        <v>265</v>
      </c>
      <c r="E992" s="468">
        <v>150000</v>
      </c>
      <c r="F992" s="440">
        <f t="shared" si="884"/>
        <v>165000</v>
      </c>
      <c r="G992" s="440">
        <f t="shared" si="884"/>
        <v>181500.00000000003</v>
      </c>
      <c r="H992" s="132"/>
    </row>
    <row r="993" spans="1:8" s="292" customFormat="1" outlineLevel="3">
      <c r="A993" s="389"/>
      <c r="B993" s="389"/>
      <c r="C993" s="443">
        <v>2210200</v>
      </c>
      <c r="D993" s="330" t="s">
        <v>19</v>
      </c>
      <c r="E993" s="462">
        <f>E994+E995</f>
        <v>150000</v>
      </c>
      <c r="F993" s="462">
        <f t="shared" ref="F993:G993" si="885">F994+F995</f>
        <v>165000.00000000003</v>
      </c>
      <c r="G993" s="462">
        <f t="shared" si="885"/>
        <v>181500.00000000006</v>
      </c>
      <c r="H993" s="132"/>
    </row>
    <row r="994" spans="1:8" s="292" customFormat="1" outlineLevel="3">
      <c r="A994" s="389"/>
      <c r="B994" s="389"/>
      <c r="C994" s="437">
        <v>2210201</v>
      </c>
      <c r="D994" s="326" t="s">
        <v>236</v>
      </c>
      <c r="E994" s="468">
        <v>100000</v>
      </c>
      <c r="F994" s="440">
        <f t="shared" ref="F994:G995" si="886">E994*1.1</f>
        <v>110000.00000000001</v>
      </c>
      <c r="G994" s="440">
        <f t="shared" si="886"/>
        <v>121000.00000000003</v>
      </c>
      <c r="H994" s="132"/>
    </row>
    <row r="995" spans="1:8" s="292" customFormat="1" outlineLevel="3">
      <c r="A995" s="389"/>
      <c r="B995" s="389"/>
      <c r="C995" s="389">
        <v>2210202</v>
      </c>
      <c r="D995" s="332" t="s">
        <v>21</v>
      </c>
      <c r="E995" s="468">
        <v>50000</v>
      </c>
      <c r="F995" s="440">
        <f t="shared" si="886"/>
        <v>55000.000000000007</v>
      </c>
      <c r="G995" s="440">
        <f t="shared" si="886"/>
        <v>60500.000000000015</v>
      </c>
      <c r="H995" s="132"/>
    </row>
    <row r="996" spans="1:8" s="292" customFormat="1" outlineLevel="3">
      <c r="A996" s="389"/>
      <c r="B996" s="389"/>
      <c r="C996" s="386">
        <v>2211200</v>
      </c>
      <c r="D996" s="333" t="s">
        <v>53</v>
      </c>
      <c r="E996" s="462">
        <f>E997+E998</f>
        <v>500000</v>
      </c>
      <c r="F996" s="462">
        <f t="shared" ref="F996:G996" si="887">F997+F998</f>
        <v>550000</v>
      </c>
      <c r="G996" s="462">
        <f t="shared" si="887"/>
        <v>605000</v>
      </c>
      <c r="H996" s="132"/>
    </row>
    <row r="997" spans="1:8" s="292" customFormat="1" outlineLevel="3">
      <c r="A997" s="386"/>
      <c r="B997" s="386"/>
      <c r="C997" s="389">
        <v>2211201</v>
      </c>
      <c r="D997" s="332" t="s">
        <v>91</v>
      </c>
      <c r="E997" s="468">
        <v>250000</v>
      </c>
      <c r="F997" s="440">
        <f t="shared" si="880"/>
        <v>275000</v>
      </c>
      <c r="G997" s="440">
        <f t="shared" si="880"/>
        <v>302500</v>
      </c>
      <c r="H997" s="132"/>
    </row>
    <row r="998" spans="1:8" s="292" customFormat="1" outlineLevel="3">
      <c r="A998" s="389"/>
      <c r="B998" s="389"/>
      <c r="C998" s="389" t="s">
        <v>222</v>
      </c>
      <c r="D998" s="332" t="s">
        <v>223</v>
      </c>
      <c r="E998" s="468">
        <v>250000</v>
      </c>
      <c r="F998" s="440">
        <f t="shared" si="880"/>
        <v>275000</v>
      </c>
      <c r="G998" s="440">
        <f t="shared" si="880"/>
        <v>302500</v>
      </c>
      <c r="H998" s="132"/>
    </row>
    <row r="999" spans="1:8" s="292" customFormat="1" ht="30" outlineLevel="3">
      <c r="A999" s="389"/>
      <c r="B999" s="389"/>
      <c r="C999" s="443">
        <v>2220100</v>
      </c>
      <c r="D999" s="445" t="s">
        <v>246</v>
      </c>
      <c r="E999" s="462">
        <f>E1000</f>
        <v>250000</v>
      </c>
      <c r="F999" s="462">
        <f>F1000</f>
        <v>275000</v>
      </c>
      <c r="G999" s="462">
        <f t="shared" ref="G999" si="888">G1000</f>
        <v>302500</v>
      </c>
      <c r="H999" s="132"/>
    </row>
    <row r="1000" spans="1:8" s="292" customFormat="1" outlineLevel="3">
      <c r="A1000" s="386"/>
      <c r="B1000" s="386"/>
      <c r="C1000" s="451">
        <v>2220101</v>
      </c>
      <c r="D1000" s="346" t="s">
        <v>225</v>
      </c>
      <c r="E1000" s="468">
        <v>250000</v>
      </c>
      <c r="F1000" s="440">
        <f t="shared" si="880"/>
        <v>275000</v>
      </c>
      <c r="G1000" s="440">
        <f t="shared" si="880"/>
        <v>302500</v>
      </c>
      <c r="H1000" s="132"/>
    </row>
    <row r="1001" spans="1:8" s="292" customFormat="1" outlineLevel="3">
      <c r="A1001" s="389"/>
      <c r="B1001" s="389"/>
      <c r="C1001" s="386">
        <v>2220200</v>
      </c>
      <c r="D1001" s="333" t="s">
        <v>114</v>
      </c>
      <c r="E1001" s="462">
        <f>E1002+E1003</f>
        <v>245000</v>
      </c>
      <c r="F1001" s="462">
        <f t="shared" ref="F1001:G1001" si="889">F1002+F1003</f>
        <v>269500.00000000006</v>
      </c>
      <c r="G1001" s="462">
        <f t="shared" si="889"/>
        <v>296450.00000000006</v>
      </c>
      <c r="H1001" s="132"/>
    </row>
    <row r="1002" spans="1:8" s="292" customFormat="1" outlineLevel="3">
      <c r="A1002" s="389"/>
      <c r="B1002" s="389"/>
      <c r="C1002" s="389">
        <v>2220202</v>
      </c>
      <c r="D1002" s="332" t="s">
        <v>63</v>
      </c>
      <c r="E1002" s="468">
        <v>50000</v>
      </c>
      <c r="F1002" s="440">
        <f t="shared" si="880"/>
        <v>55000.000000000007</v>
      </c>
      <c r="G1002" s="440">
        <f t="shared" si="880"/>
        <v>60500.000000000015</v>
      </c>
      <c r="H1002" s="132"/>
    </row>
    <row r="1003" spans="1:8" s="292" customFormat="1" outlineLevel="3">
      <c r="A1003" s="386"/>
      <c r="B1003" s="386"/>
      <c r="C1003" s="389">
        <v>2220205</v>
      </c>
      <c r="D1003" s="332" t="s">
        <v>180</v>
      </c>
      <c r="E1003" s="468">
        <v>195000</v>
      </c>
      <c r="F1003" s="440">
        <f t="shared" si="880"/>
        <v>214500.00000000003</v>
      </c>
      <c r="G1003" s="440">
        <f t="shared" si="880"/>
        <v>235950.00000000006</v>
      </c>
      <c r="H1003" s="132"/>
    </row>
    <row r="1004" spans="1:8" s="292" customFormat="1" outlineLevel="3">
      <c r="A1004" s="389"/>
      <c r="B1004" s="389"/>
      <c r="C1004" s="443">
        <v>3111000</v>
      </c>
      <c r="D1004" s="330" t="s">
        <v>247</v>
      </c>
      <c r="E1004" s="462">
        <f>E1005+E1006+E1007</f>
        <v>175000</v>
      </c>
      <c r="F1004" s="462">
        <f t="shared" ref="F1004:G1004" si="890">F1005+F1006+F1007</f>
        <v>192500</v>
      </c>
      <c r="G1004" s="462">
        <f t="shared" si="890"/>
        <v>211750.00000000006</v>
      </c>
      <c r="H1004" s="132"/>
    </row>
    <row r="1005" spans="1:8" s="292" customFormat="1" outlineLevel="3">
      <c r="A1005" s="389"/>
      <c r="B1005" s="389"/>
      <c r="C1005" s="437">
        <v>3111001</v>
      </c>
      <c r="D1005" s="326" t="s">
        <v>226</v>
      </c>
      <c r="E1005" s="468">
        <v>50000</v>
      </c>
      <c r="F1005" s="440">
        <f t="shared" si="880"/>
        <v>55000.000000000007</v>
      </c>
      <c r="G1005" s="440">
        <f t="shared" si="880"/>
        <v>60500.000000000015</v>
      </c>
      <c r="H1005" s="132"/>
    </row>
    <row r="1006" spans="1:8" s="292" customFormat="1" outlineLevel="3">
      <c r="A1006" s="386"/>
      <c r="B1006" s="386"/>
      <c r="C1006" s="389">
        <v>3111002</v>
      </c>
      <c r="D1006" s="332" t="s">
        <v>67</v>
      </c>
      <c r="E1006" s="468">
        <v>50000</v>
      </c>
      <c r="F1006" s="440">
        <f t="shared" si="880"/>
        <v>55000.000000000007</v>
      </c>
      <c r="G1006" s="440">
        <f t="shared" si="880"/>
        <v>60500.000000000015</v>
      </c>
      <c r="H1006" s="132"/>
    </row>
    <row r="1007" spans="1:8" s="292" customFormat="1" outlineLevel="3">
      <c r="A1007" s="389"/>
      <c r="B1007" s="389"/>
      <c r="C1007" s="389">
        <v>3111009</v>
      </c>
      <c r="D1007" s="332" t="s">
        <v>227</v>
      </c>
      <c r="E1007" s="468">
        <v>75000</v>
      </c>
      <c r="F1007" s="440">
        <f t="shared" si="880"/>
        <v>82500</v>
      </c>
      <c r="G1007" s="440">
        <f t="shared" si="880"/>
        <v>90750.000000000015</v>
      </c>
      <c r="H1007" s="132"/>
    </row>
    <row r="1008" spans="1:8" s="292" customFormat="1" outlineLevel="2">
      <c r="A1008" s="465"/>
      <c r="B1008" s="465"/>
      <c r="C1008" s="470"/>
      <c r="D1008" s="317" t="s">
        <v>101</v>
      </c>
      <c r="E1008" s="466">
        <f>E1004+E1001+E999+E996+E993+E988+E980+E975+E971+E968+E966</f>
        <v>37103304.274000004</v>
      </c>
      <c r="F1008" s="466">
        <f t="shared" ref="F1008:G1008" si="891">F1004+F1001+F999+F996+F993+F988+F980+F975+F971+F968+F966</f>
        <v>40790634.701400004</v>
      </c>
      <c r="G1008" s="466">
        <f t="shared" si="891"/>
        <v>44869698.171540007</v>
      </c>
      <c r="H1008" s="132"/>
    </row>
    <row r="1009" spans="1:8" s="292" customFormat="1" outlineLevel="2">
      <c r="A1009" s="389"/>
      <c r="B1009" s="389"/>
      <c r="C1009" s="437"/>
      <c r="D1009" s="326"/>
      <c r="E1009" s="460"/>
      <c r="F1009" s="440">
        <f t="shared" si="880"/>
        <v>0</v>
      </c>
      <c r="G1009" s="440">
        <f t="shared" si="880"/>
        <v>0</v>
      </c>
      <c r="H1009" s="132"/>
    </row>
    <row r="1010" spans="1:8" s="292" customFormat="1" outlineLevel="2">
      <c r="A1010" s="386"/>
      <c r="B1010" s="386"/>
      <c r="C1010" s="443"/>
      <c r="D1010" s="330" t="s">
        <v>248</v>
      </c>
      <c r="E1010" s="469"/>
      <c r="F1010" s="440"/>
      <c r="G1010" s="440"/>
      <c r="H1010" s="132"/>
    </row>
    <row r="1011" spans="1:8" s="292" customFormat="1" outlineLevel="3">
      <c r="A1011" s="389"/>
      <c r="B1011" s="389"/>
      <c r="C1011" s="437">
        <v>3111404</v>
      </c>
      <c r="D1011" s="326" t="s">
        <v>266</v>
      </c>
      <c r="E1011" s="468">
        <v>1000000</v>
      </c>
      <c r="F1011" s="440">
        <f t="shared" ref="F1011:G1048" si="892">E1011*1.1</f>
        <v>1100000</v>
      </c>
      <c r="G1011" s="440">
        <f t="shared" si="892"/>
        <v>1210000</v>
      </c>
      <c r="H1011" s="132"/>
    </row>
    <row r="1012" spans="1:8" s="292" customFormat="1" ht="30" outlineLevel="3">
      <c r="A1012" s="389"/>
      <c r="B1012" s="389"/>
      <c r="C1012" s="437">
        <v>3111404</v>
      </c>
      <c r="D1012" s="326" t="s">
        <v>267</v>
      </c>
      <c r="E1012" s="468">
        <v>1200000</v>
      </c>
      <c r="F1012" s="440">
        <f t="shared" si="892"/>
        <v>1320000</v>
      </c>
      <c r="G1012" s="440">
        <f t="shared" si="892"/>
        <v>1452000.0000000002</v>
      </c>
      <c r="H1012" s="132"/>
    </row>
    <row r="1013" spans="1:8" s="292" customFormat="1" outlineLevel="3">
      <c r="A1013" s="389"/>
      <c r="B1013" s="389"/>
      <c r="C1013" s="437">
        <v>3111404</v>
      </c>
      <c r="D1013" s="326" t="s">
        <v>268</v>
      </c>
      <c r="E1013" s="468">
        <v>700000</v>
      </c>
      <c r="F1013" s="440">
        <f t="shared" si="892"/>
        <v>770000.00000000012</v>
      </c>
      <c r="G1013" s="440">
        <f t="shared" si="892"/>
        <v>847000.00000000023</v>
      </c>
      <c r="H1013" s="132"/>
    </row>
    <row r="1014" spans="1:8" s="292" customFormat="1" outlineLevel="2">
      <c r="A1014" s="386"/>
      <c r="B1014" s="386"/>
      <c r="C1014" s="443"/>
      <c r="D1014" s="330" t="s">
        <v>201</v>
      </c>
      <c r="E1014" s="469">
        <f>SUM(E1011:E1013)</f>
        <v>2900000</v>
      </c>
      <c r="F1014" s="440">
        <f>E1014*1.1</f>
        <v>3190000.0000000005</v>
      </c>
      <c r="G1014" s="440">
        <f>F1014*1.1</f>
        <v>3509000.0000000009</v>
      </c>
      <c r="H1014" s="132"/>
    </row>
    <row r="1015" spans="1:8" s="292" customFormat="1" outlineLevel="1">
      <c r="A1015" s="465"/>
      <c r="B1015" s="465"/>
      <c r="C1015" s="438"/>
      <c r="D1015" s="317" t="s">
        <v>269</v>
      </c>
      <c r="E1015" s="466">
        <f>E1008+E1014</f>
        <v>40003304.274000004</v>
      </c>
      <c r="F1015" s="466">
        <f>F1008+F1014</f>
        <v>43980634.701400004</v>
      </c>
      <c r="G1015" s="466">
        <f>G1008+G1014</f>
        <v>48378698.171540007</v>
      </c>
      <c r="H1015" s="132"/>
    </row>
    <row r="1016" spans="1:8" s="292" customFormat="1" outlineLevel="1">
      <c r="A1016" s="389"/>
      <c r="B1016" s="389"/>
      <c r="C1016" s="437"/>
      <c r="D1016" s="326"/>
      <c r="E1016" s="460"/>
      <c r="F1016" s="440">
        <f t="shared" si="892"/>
        <v>0</v>
      </c>
      <c r="G1016" s="440">
        <f t="shared" si="892"/>
        <v>0</v>
      </c>
      <c r="H1016" s="132"/>
    </row>
    <row r="1017" spans="1:8" s="292" customFormat="1" outlineLevel="1">
      <c r="A1017" s="389"/>
      <c r="B1017" s="389" t="s">
        <v>98</v>
      </c>
      <c r="C1017" s="443" t="s">
        <v>270</v>
      </c>
      <c r="D1017" s="330"/>
      <c r="E1017" s="460"/>
      <c r="F1017" s="440">
        <f t="shared" si="892"/>
        <v>0</v>
      </c>
      <c r="G1017" s="440">
        <f t="shared" si="892"/>
        <v>0</v>
      </c>
      <c r="H1017" s="132"/>
    </row>
    <row r="1018" spans="1:8" s="292" customFormat="1" outlineLevel="3">
      <c r="A1018" s="386"/>
      <c r="B1018" s="386"/>
      <c r="C1018" s="443">
        <v>2110100</v>
      </c>
      <c r="D1018" s="330" t="s">
        <v>271</v>
      </c>
      <c r="E1018" s="462">
        <f>E1019</f>
        <v>3892303.8</v>
      </c>
      <c r="F1018" s="462">
        <f t="shared" ref="F1018:G1018" si="893">F1019</f>
        <v>4281534.18</v>
      </c>
      <c r="G1018" s="462">
        <f t="shared" si="893"/>
        <v>4709687.5980000002</v>
      </c>
      <c r="H1018" s="132"/>
    </row>
    <row r="1019" spans="1:8" s="292" customFormat="1" outlineLevel="3">
      <c r="A1019" s="389"/>
      <c r="B1019" s="389"/>
      <c r="C1019" s="437">
        <v>2110101</v>
      </c>
      <c r="D1019" s="326" t="s">
        <v>271</v>
      </c>
      <c r="E1019" s="468">
        <v>3892303.8</v>
      </c>
      <c r="F1019" s="440">
        <f t="shared" si="892"/>
        <v>4281534.18</v>
      </c>
      <c r="G1019" s="440">
        <f t="shared" si="892"/>
        <v>4709687.5980000002</v>
      </c>
      <c r="H1019" s="132"/>
    </row>
    <row r="1020" spans="1:8" s="292" customFormat="1" outlineLevel="3">
      <c r="A1020" s="389"/>
      <c r="B1020" s="389"/>
      <c r="C1020" s="443">
        <v>2210100</v>
      </c>
      <c r="D1020" s="330" t="s">
        <v>235</v>
      </c>
      <c r="E1020" s="446">
        <f>E1021+E1022</f>
        <v>230000</v>
      </c>
      <c r="F1020" s="446">
        <f t="shared" ref="F1020:G1020" si="894">F1021+F1022</f>
        <v>230000</v>
      </c>
      <c r="G1020" s="446">
        <f t="shared" si="894"/>
        <v>253000</v>
      </c>
      <c r="H1020" s="132"/>
    </row>
    <row r="1021" spans="1:8" s="292" customFormat="1" outlineLevel="3">
      <c r="A1021" s="389"/>
      <c r="B1021" s="389"/>
      <c r="C1021" s="437">
        <v>2210101</v>
      </c>
      <c r="D1021" s="326" t="s">
        <v>17</v>
      </c>
      <c r="E1021" s="450">
        <v>150000</v>
      </c>
      <c r="F1021" s="440">
        <v>150000</v>
      </c>
      <c r="G1021" s="440">
        <f t="shared" ref="G1021:G1022" si="895">F1021*1.1</f>
        <v>165000</v>
      </c>
      <c r="H1021" s="132"/>
    </row>
    <row r="1022" spans="1:8" s="292" customFormat="1" outlineLevel="3">
      <c r="A1022" s="389"/>
      <c r="B1022" s="389"/>
      <c r="C1022" s="437">
        <v>2210102</v>
      </c>
      <c r="D1022" s="326" t="s">
        <v>18</v>
      </c>
      <c r="E1022" s="450">
        <v>80000</v>
      </c>
      <c r="F1022" s="440">
        <v>80000</v>
      </c>
      <c r="G1022" s="440">
        <f t="shared" si="895"/>
        <v>88000</v>
      </c>
      <c r="H1022" s="132"/>
    </row>
    <row r="1023" spans="1:8" s="292" customFormat="1" outlineLevel="3">
      <c r="A1023" s="386" t="s">
        <v>233</v>
      </c>
      <c r="B1023" s="386"/>
      <c r="C1023" s="443">
        <v>2210200</v>
      </c>
      <c r="D1023" s="330" t="s">
        <v>19</v>
      </c>
      <c r="E1023" s="462">
        <f>E1024+E1025</f>
        <v>150000</v>
      </c>
      <c r="F1023" s="462">
        <f t="shared" ref="F1023:G1023" si="896">F1024+F1025</f>
        <v>165000.00000000003</v>
      </c>
      <c r="G1023" s="462">
        <f t="shared" si="896"/>
        <v>181500.00000000006</v>
      </c>
      <c r="H1023" s="132"/>
    </row>
    <row r="1024" spans="1:8" s="292" customFormat="1" outlineLevel="3">
      <c r="A1024" s="389"/>
      <c r="B1024" s="389"/>
      <c r="C1024" s="437">
        <v>2210201</v>
      </c>
      <c r="D1024" s="326" t="s">
        <v>236</v>
      </c>
      <c r="E1024" s="468">
        <v>100000</v>
      </c>
      <c r="F1024" s="440">
        <f t="shared" si="892"/>
        <v>110000.00000000001</v>
      </c>
      <c r="G1024" s="440">
        <f t="shared" si="892"/>
        <v>121000.00000000003</v>
      </c>
      <c r="H1024" s="132"/>
    </row>
    <row r="1025" spans="1:8" s="292" customFormat="1" outlineLevel="3">
      <c r="A1025" s="389"/>
      <c r="B1025" s="389"/>
      <c r="C1025" s="389">
        <v>2210202</v>
      </c>
      <c r="D1025" s="332" t="s">
        <v>21</v>
      </c>
      <c r="E1025" s="468">
        <v>50000</v>
      </c>
      <c r="F1025" s="440">
        <f t="shared" si="892"/>
        <v>55000.000000000007</v>
      </c>
      <c r="G1025" s="440">
        <f t="shared" si="892"/>
        <v>60500.000000000015</v>
      </c>
      <c r="H1025" s="132"/>
    </row>
    <row r="1026" spans="1:8" s="292" customFormat="1" ht="30" outlineLevel="3">
      <c r="A1026" s="386"/>
      <c r="B1026" s="386"/>
      <c r="C1026" s="443">
        <v>2210300</v>
      </c>
      <c r="D1026" s="330" t="s">
        <v>23</v>
      </c>
      <c r="E1026" s="462">
        <f>E1027+E1028+E1029</f>
        <v>900000</v>
      </c>
      <c r="F1026" s="462">
        <f t="shared" ref="F1026:G1026" si="897">F1027+F1028+F1029</f>
        <v>990000.00000000012</v>
      </c>
      <c r="G1026" s="462">
        <f t="shared" si="897"/>
        <v>1089000.0000000002</v>
      </c>
      <c r="H1026" s="132"/>
    </row>
    <row r="1027" spans="1:8" s="292" customFormat="1" outlineLevel="3">
      <c r="A1027" s="389"/>
      <c r="B1027" s="389"/>
      <c r="C1027" s="437">
        <v>2210302</v>
      </c>
      <c r="D1027" s="326" t="s">
        <v>25</v>
      </c>
      <c r="E1027" s="468">
        <v>450000</v>
      </c>
      <c r="F1027" s="440">
        <f t="shared" si="892"/>
        <v>495000.00000000006</v>
      </c>
      <c r="G1027" s="440">
        <f t="shared" si="892"/>
        <v>544500.00000000012</v>
      </c>
      <c r="H1027" s="132"/>
    </row>
    <row r="1028" spans="1:8" s="292" customFormat="1" outlineLevel="3">
      <c r="A1028" s="389"/>
      <c r="B1028" s="389"/>
      <c r="C1028" s="437">
        <v>2210303</v>
      </c>
      <c r="D1028" s="326" t="s">
        <v>259</v>
      </c>
      <c r="E1028" s="468">
        <v>400000</v>
      </c>
      <c r="F1028" s="440">
        <f t="shared" si="892"/>
        <v>440000.00000000006</v>
      </c>
      <c r="G1028" s="440">
        <f t="shared" si="892"/>
        <v>484000.00000000012</v>
      </c>
      <c r="H1028" s="132"/>
    </row>
    <row r="1029" spans="1:8" s="292" customFormat="1" outlineLevel="3">
      <c r="A1029" s="386"/>
      <c r="B1029" s="386"/>
      <c r="C1029" s="437">
        <v>2210304</v>
      </c>
      <c r="D1029" s="326" t="s">
        <v>27</v>
      </c>
      <c r="E1029" s="468">
        <v>50000</v>
      </c>
      <c r="F1029" s="440">
        <f t="shared" si="892"/>
        <v>55000.000000000007</v>
      </c>
      <c r="G1029" s="440">
        <f t="shared" si="892"/>
        <v>60500.000000000015</v>
      </c>
      <c r="H1029" s="132"/>
    </row>
    <row r="1030" spans="1:8" s="292" customFormat="1" outlineLevel="3">
      <c r="A1030" s="389"/>
      <c r="B1030" s="389"/>
      <c r="C1030" s="444">
        <v>2210500</v>
      </c>
      <c r="D1030" s="445" t="s">
        <v>30</v>
      </c>
      <c r="E1030" s="462">
        <f>E1031</f>
        <v>800000</v>
      </c>
      <c r="F1030" s="462">
        <f t="shared" ref="F1030:G1030" si="898">F1031</f>
        <v>880000.00000000012</v>
      </c>
      <c r="G1030" s="462">
        <f t="shared" si="898"/>
        <v>968000.00000000023</v>
      </c>
      <c r="H1030" s="132"/>
    </row>
    <row r="1031" spans="1:8" s="292" customFormat="1" outlineLevel="3">
      <c r="A1031" s="386"/>
      <c r="B1031" s="386"/>
      <c r="C1031" s="451">
        <v>2210505</v>
      </c>
      <c r="D1031" s="346" t="s">
        <v>213</v>
      </c>
      <c r="E1031" s="468">
        <v>800000</v>
      </c>
      <c r="F1031" s="440">
        <f t="shared" si="892"/>
        <v>880000.00000000012</v>
      </c>
      <c r="G1031" s="440">
        <f t="shared" si="892"/>
        <v>968000.00000000023</v>
      </c>
      <c r="H1031" s="132"/>
    </row>
    <row r="1032" spans="1:8" s="292" customFormat="1" outlineLevel="3">
      <c r="A1032" s="389"/>
      <c r="B1032" s="389"/>
      <c r="C1032" s="443">
        <v>2210700</v>
      </c>
      <c r="D1032" s="463" t="s">
        <v>238</v>
      </c>
      <c r="E1032" s="446">
        <f>E1033+E1034+E1035+E1036+E1037+E1038+E1039</f>
        <v>935000</v>
      </c>
      <c r="F1032" s="446">
        <f>F1034+F1046+F1047+F1033+F1035+F1043+F1044+F1045</f>
        <v>1710500</v>
      </c>
      <c r="G1032" s="446">
        <f>G1034+G1046+G1047+G1033+G1035+G1043+G1044+G1045</f>
        <v>1881550.0000000002</v>
      </c>
      <c r="H1032" s="132"/>
    </row>
    <row r="1033" spans="1:8" s="292" customFormat="1" outlineLevel="3">
      <c r="A1033" s="389"/>
      <c r="B1033" s="389"/>
      <c r="C1033" s="389">
        <v>2210701</v>
      </c>
      <c r="D1033" s="332" t="s">
        <v>35</v>
      </c>
      <c r="E1033" s="450">
        <v>120000</v>
      </c>
      <c r="F1033" s="440">
        <f t="shared" ref="F1033:G1039" si="899">E1033*1.1</f>
        <v>132000</v>
      </c>
      <c r="G1033" s="440">
        <f t="shared" si="899"/>
        <v>145200</v>
      </c>
      <c r="H1033" s="132"/>
    </row>
    <row r="1034" spans="1:8" s="292" customFormat="1" outlineLevel="3">
      <c r="A1034" s="386"/>
      <c r="B1034" s="386"/>
      <c r="C1034" s="437">
        <v>2210702</v>
      </c>
      <c r="D1034" s="332" t="s">
        <v>83</v>
      </c>
      <c r="E1034" s="450">
        <v>185000</v>
      </c>
      <c r="F1034" s="440">
        <f t="shared" si="899"/>
        <v>203500.00000000003</v>
      </c>
      <c r="G1034" s="440">
        <f t="shared" si="899"/>
        <v>223850.00000000006</v>
      </c>
      <c r="H1034" s="132"/>
    </row>
    <row r="1035" spans="1:8" s="292" customFormat="1" outlineLevel="3">
      <c r="A1035" s="464"/>
      <c r="B1035" s="464"/>
      <c r="C1035" s="389">
        <v>2210703</v>
      </c>
      <c r="D1035" s="332" t="s">
        <v>166</v>
      </c>
      <c r="E1035" s="450">
        <v>200000</v>
      </c>
      <c r="F1035" s="440">
        <f t="shared" si="899"/>
        <v>220000.00000000003</v>
      </c>
      <c r="G1035" s="440">
        <f t="shared" si="899"/>
        <v>242000.00000000006</v>
      </c>
      <c r="H1035" s="132"/>
    </row>
    <row r="1036" spans="1:8" s="292" customFormat="1" outlineLevel="3">
      <c r="A1036" s="441"/>
      <c r="B1036" s="441"/>
      <c r="C1036" s="389">
        <v>2210704</v>
      </c>
      <c r="D1036" s="332" t="s">
        <v>37</v>
      </c>
      <c r="E1036" s="450">
        <v>30000</v>
      </c>
      <c r="F1036" s="440">
        <f t="shared" si="899"/>
        <v>33000</v>
      </c>
      <c r="G1036" s="440">
        <f t="shared" si="899"/>
        <v>36300</v>
      </c>
      <c r="H1036" s="132"/>
    </row>
    <row r="1037" spans="1:8" s="292" customFormat="1" outlineLevel="3">
      <c r="A1037" s="441"/>
      <c r="B1037" s="441"/>
      <c r="C1037" s="451">
        <v>2210710</v>
      </c>
      <c r="D1037" s="346" t="s">
        <v>38</v>
      </c>
      <c r="E1037" s="450">
        <v>100000</v>
      </c>
      <c r="F1037" s="440">
        <f t="shared" si="899"/>
        <v>110000.00000000001</v>
      </c>
      <c r="G1037" s="440">
        <f t="shared" si="899"/>
        <v>121000.00000000003</v>
      </c>
      <c r="H1037" s="132"/>
    </row>
    <row r="1038" spans="1:8" s="292" customFormat="1" outlineLevel="3">
      <c r="A1038" s="443"/>
      <c r="B1038" s="443"/>
      <c r="C1038" s="389" t="s">
        <v>215</v>
      </c>
      <c r="D1038" s="332" t="s">
        <v>216</v>
      </c>
      <c r="E1038" s="450">
        <v>100000</v>
      </c>
      <c r="F1038" s="440">
        <f t="shared" si="899"/>
        <v>110000.00000000001</v>
      </c>
      <c r="G1038" s="440">
        <f t="shared" si="899"/>
        <v>121000.00000000003</v>
      </c>
      <c r="H1038" s="132"/>
    </row>
    <row r="1039" spans="1:8" s="292" customFormat="1" outlineLevel="3">
      <c r="A1039" s="441"/>
      <c r="B1039" s="441"/>
      <c r="C1039" s="437">
        <v>2210715</v>
      </c>
      <c r="D1039" s="326" t="s">
        <v>39</v>
      </c>
      <c r="E1039" s="450">
        <v>200000</v>
      </c>
      <c r="F1039" s="440">
        <f t="shared" si="899"/>
        <v>220000.00000000003</v>
      </c>
      <c r="G1039" s="440">
        <f t="shared" si="899"/>
        <v>242000.00000000006</v>
      </c>
      <c r="H1039" s="132"/>
    </row>
    <row r="1040" spans="1:8" s="292" customFormat="1" outlineLevel="3">
      <c r="A1040" s="386"/>
      <c r="B1040" s="386"/>
      <c r="C1040" s="443">
        <v>2210800</v>
      </c>
      <c r="D1040" s="330" t="s">
        <v>41</v>
      </c>
      <c r="E1040" s="462">
        <f>E1041+E1042</f>
        <v>230000</v>
      </c>
      <c r="F1040" s="462">
        <f t="shared" ref="F1040:G1040" si="900">F1041+F1042</f>
        <v>253000.00000000003</v>
      </c>
      <c r="G1040" s="462">
        <f t="shared" si="900"/>
        <v>278300.00000000006</v>
      </c>
      <c r="H1040" s="132"/>
    </row>
    <row r="1041" spans="1:8" s="292" customFormat="1" ht="30" outlineLevel="3">
      <c r="A1041" s="386"/>
      <c r="B1041" s="386"/>
      <c r="C1041" s="437">
        <v>2210801</v>
      </c>
      <c r="D1041" s="326" t="s">
        <v>240</v>
      </c>
      <c r="E1041" s="468">
        <v>200000</v>
      </c>
      <c r="F1041" s="440">
        <f t="shared" ref="F1041:G1042" si="901">E1041*1.1</f>
        <v>220000.00000000003</v>
      </c>
      <c r="G1041" s="440">
        <f t="shared" si="901"/>
        <v>242000.00000000006</v>
      </c>
      <c r="H1041" s="132"/>
    </row>
    <row r="1042" spans="1:8" s="292" customFormat="1" outlineLevel="3">
      <c r="A1042" s="386"/>
      <c r="B1042" s="386"/>
      <c r="C1042" s="437">
        <v>2210802</v>
      </c>
      <c r="D1042" s="326" t="s">
        <v>86</v>
      </c>
      <c r="E1042" s="468">
        <v>30000</v>
      </c>
      <c r="F1042" s="440">
        <f t="shared" si="901"/>
        <v>33000</v>
      </c>
      <c r="G1042" s="440">
        <f t="shared" si="901"/>
        <v>36300</v>
      </c>
      <c r="H1042" s="132"/>
    </row>
    <row r="1043" spans="1:8" s="292" customFormat="1" outlineLevel="3">
      <c r="A1043" s="386"/>
      <c r="B1043" s="386"/>
      <c r="C1043" s="443">
        <v>2211100</v>
      </c>
      <c r="D1043" s="330" t="s">
        <v>49</v>
      </c>
      <c r="E1043" s="462">
        <f>E1044+E1045</f>
        <v>250000</v>
      </c>
      <c r="F1043" s="462">
        <f t="shared" ref="F1043:G1043" si="902">F1044+F1045</f>
        <v>275000</v>
      </c>
      <c r="G1043" s="462">
        <f t="shared" si="902"/>
        <v>302500.00000000006</v>
      </c>
      <c r="H1043" s="132"/>
    </row>
    <row r="1044" spans="1:8" s="292" customFormat="1" ht="30" outlineLevel="3">
      <c r="A1044" s="386"/>
      <c r="B1044" s="386"/>
      <c r="C1044" s="437">
        <v>2211101</v>
      </c>
      <c r="D1044" s="326" t="s">
        <v>220</v>
      </c>
      <c r="E1044" s="468">
        <v>180000</v>
      </c>
      <c r="F1044" s="440">
        <f t="shared" ref="F1044:G1045" si="903">E1044*1.1</f>
        <v>198000.00000000003</v>
      </c>
      <c r="G1044" s="440">
        <f t="shared" si="903"/>
        <v>217800.00000000006</v>
      </c>
      <c r="H1044" s="132"/>
    </row>
    <row r="1045" spans="1:8" s="292" customFormat="1" outlineLevel="3">
      <c r="A1045" s="386"/>
      <c r="B1045" s="386"/>
      <c r="C1045" s="437">
        <v>2211102</v>
      </c>
      <c r="D1045" s="326" t="s">
        <v>243</v>
      </c>
      <c r="E1045" s="468">
        <v>70000</v>
      </c>
      <c r="F1045" s="440">
        <f t="shared" si="903"/>
        <v>77000</v>
      </c>
      <c r="G1045" s="440">
        <f t="shared" si="903"/>
        <v>84700</v>
      </c>
      <c r="H1045" s="132"/>
    </row>
    <row r="1046" spans="1:8" s="292" customFormat="1" outlineLevel="3">
      <c r="A1046" s="386"/>
      <c r="B1046" s="386"/>
      <c r="C1046" s="443">
        <v>2211200</v>
      </c>
      <c r="D1046" s="330" t="s">
        <v>53</v>
      </c>
      <c r="E1046" s="462">
        <f>E1047+E1048</f>
        <v>350000</v>
      </c>
      <c r="F1046" s="462">
        <f t="shared" ref="F1046:G1046" si="904">F1047+F1048</f>
        <v>385000</v>
      </c>
      <c r="G1046" s="462">
        <f t="shared" si="904"/>
        <v>423500.00000000012</v>
      </c>
      <c r="H1046" s="132"/>
    </row>
    <row r="1047" spans="1:8" s="292" customFormat="1" outlineLevel="3">
      <c r="A1047" s="386"/>
      <c r="B1047" s="386"/>
      <c r="C1047" s="437">
        <v>2211201</v>
      </c>
      <c r="D1047" s="326" t="s">
        <v>91</v>
      </c>
      <c r="E1047" s="468">
        <v>200000</v>
      </c>
      <c r="F1047" s="440">
        <f t="shared" ref="F1047:G1047" si="905">E1047*1.1</f>
        <v>220000.00000000003</v>
      </c>
      <c r="G1047" s="440">
        <f t="shared" si="905"/>
        <v>242000.00000000006</v>
      </c>
      <c r="H1047" s="132"/>
    </row>
    <row r="1048" spans="1:8" s="292" customFormat="1" outlineLevel="3">
      <c r="A1048" s="389"/>
      <c r="B1048" s="389"/>
      <c r="C1048" s="389" t="s">
        <v>222</v>
      </c>
      <c r="D1048" s="332" t="s">
        <v>223</v>
      </c>
      <c r="E1048" s="468">
        <v>150000</v>
      </c>
      <c r="F1048" s="440">
        <f t="shared" si="892"/>
        <v>165000</v>
      </c>
      <c r="G1048" s="440">
        <f t="shared" si="892"/>
        <v>181500.00000000003</v>
      </c>
      <c r="H1048" s="132"/>
    </row>
    <row r="1049" spans="1:8" s="292" customFormat="1" outlineLevel="3">
      <c r="A1049" s="389"/>
      <c r="B1049" s="389"/>
      <c r="C1049" s="443">
        <v>2220100</v>
      </c>
      <c r="D1049" s="330" t="s">
        <v>62</v>
      </c>
      <c r="E1049" s="462">
        <f>E1050</f>
        <v>250000</v>
      </c>
      <c r="F1049" s="462">
        <f t="shared" ref="F1049:G1049" si="906">F1050</f>
        <v>275000</v>
      </c>
      <c r="G1049" s="462">
        <f t="shared" si="906"/>
        <v>302500</v>
      </c>
      <c r="H1049" s="132"/>
    </row>
    <row r="1050" spans="1:8" s="292" customFormat="1" outlineLevel="3">
      <c r="A1050" s="386"/>
      <c r="B1050" s="386"/>
      <c r="C1050" s="437">
        <v>2220101</v>
      </c>
      <c r="D1050" s="326" t="s">
        <v>62</v>
      </c>
      <c r="E1050" s="468">
        <v>250000</v>
      </c>
      <c r="F1050" s="440">
        <f t="shared" ref="F1050:G1067" si="907">E1050*1.1</f>
        <v>275000</v>
      </c>
      <c r="G1050" s="440">
        <f t="shared" si="907"/>
        <v>302500</v>
      </c>
      <c r="H1050" s="132"/>
    </row>
    <row r="1051" spans="1:8" s="292" customFormat="1" outlineLevel="3">
      <c r="A1051" s="389"/>
      <c r="B1051" s="389"/>
      <c r="C1051" s="386">
        <v>2220200</v>
      </c>
      <c r="D1051" s="333" t="s">
        <v>114</v>
      </c>
      <c r="E1051" s="462">
        <f>E1052+E1053</f>
        <v>40000</v>
      </c>
      <c r="F1051" s="462">
        <f t="shared" ref="F1051:G1051" si="908">F1052+F1053</f>
        <v>44000</v>
      </c>
      <c r="G1051" s="462">
        <f t="shared" si="908"/>
        <v>48400.000000000007</v>
      </c>
      <c r="H1051" s="132"/>
    </row>
    <row r="1052" spans="1:8" s="292" customFormat="1" outlineLevel="3">
      <c r="A1052" s="389"/>
      <c r="B1052" s="389"/>
      <c r="C1052" s="389">
        <v>2220202</v>
      </c>
      <c r="D1052" s="332" t="s">
        <v>63</v>
      </c>
      <c r="E1052" s="468">
        <v>25000</v>
      </c>
      <c r="F1052" s="440">
        <f t="shared" si="907"/>
        <v>27500.000000000004</v>
      </c>
      <c r="G1052" s="440">
        <f t="shared" si="907"/>
        <v>30250.000000000007</v>
      </c>
      <c r="H1052" s="132"/>
    </row>
    <row r="1053" spans="1:8" s="292" customFormat="1" outlineLevel="3">
      <c r="A1053" s="386"/>
      <c r="B1053" s="386"/>
      <c r="C1053" s="389">
        <v>2220205</v>
      </c>
      <c r="D1053" s="332" t="s">
        <v>180</v>
      </c>
      <c r="E1053" s="468">
        <v>15000</v>
      </c>
      <c r="F1053" s="440">
        <f t="shared" si="907"/>
        <v>16500</v>
      </c>
      <c r="G1053" s="440">
        <f t="shared" si="907"/>
        <v>18150</v>
      </c>
      <c r="H1053" s="132"/>
    </row>
    <row r="1054" spans="1:8" s="292" customFormat="1" outlineLevel="3">
      <c r="A1054" s="389"/>
      <c r="B1054" s="389"/>
      <c r="C1054" s="443">
        <v>3111000</v>
      </c>
      <c r="D1054" s="330" t="s">
        <v>247</v>
      </c>
      <c r="E1054" s="462">
        <f>E1055+E1056+E1057</f>
        <v>150000</v>
      </c>
      <c r="F1054" s="462">
        <f t="shared" ref="F1054:G1054" si="909">F1055+F1056+F1057</f>
        <v>165000.00000000003</v>
      </c>
      <c r="G1054" s="462">
        <f t="shared" si="909"/>
        <v>181500.00000000006</v>
      </c>
      <c r="H1054" s="132"/>
    </row>
    <row r="1055" spans="1:8" s="292" customFormat="1" outlineLevel="3">
      <c r="A1055" s="389"/>
      <c r="B1055" s="389"/>
      <c r="C1055" s="437">
        <v>3111001</v>
      </c>
      <c r="D1055" s="326" t="s">
        <v>226</v>
      </c>
      <c r="E1055" s="468">
        <v>50000</v>
      </c>
      <c r="F1055" s="440">
        <f t="shared" si="907"/>
        <v>55000.000000000007</v>
      </c>
      <c r="G1055" s="440">
        <f t="shared" si="907"/>
        <v>60500.000000000015</v>
      </c>
      <c r="H1055" s="132"/>
    </row>
    <row r="1056" spans="1:8" s="292" customFormat="1" outlineLevel="3">
      <c r="A1056" s="386"/>
      <c r="B1056" s="386"/>
      <c r="C1056" s="389">
        <v>3111002</v>
      </c>
      <c r="D1056" s="332" t="s">
        <v>67</v>
      </c>
      <c r="E1056" s="468">
        <v>50000</v>
      </c>
      <c r="F1056" s="440">
        <f t="shared" si="907"/>
        <v>55000.000000000007</v>
      </c>
      <c r="G1056" s="440">
        <f t="shared" si="907"/>
        <v>60500.000000000015</v>
      </c>
      <c r="H1056" s="132"/>
    </row>
    <row r="1057" spans="1:8" s="292" customFormat="1" outlineLevel="3">
      <c r="A1057" s="389"/>
      <c r="B1057" s="389"/>
      <c r="C1057" s="389">
        <v>3111009</v>
      </c>
      <c r="D1057" s="332" t="s">
        <v>227</v>
      </c>
      <c r="E1057" s="468">
        <v>50000</v>
      </c>
      <c r="F1057" s="440">
        <f t="shared" si="907"/>
        <v>55000.000000000007</v>
      </c>
      <c r="G1057" s="440">
        <f t="shared" si="907"/>
        <v>60500.000000000015</v>
      </c>
      <c r="H1057" s="132"/>
    </row>
    <row r="1058" spans="1:8" s="292" customFormat="1" outlineLevel="2">
      <c r="A1058" s="386"/>
      <c r="B1058" s="386"/>
      <c r="C1058" s="471"/>
      <c r="D1058" s="330" t="s">
        <v>101</v>
      </c>
      <c r="E1058" s="469">
        <f>E1054+E1051+E1049+E1046+E1043+E1040+E1032+E1030+E1026+E1023+E1020+E1018</f>
        <v>8177303.7999999998</v>
      </c>
      <c r="F1058" s="469">
        <f t="shared" ref="F1058:G1058" si="910">F1054+F1051+F1049+F1046+F1043+F1040+F1032+F1030+F1026+F1023+F1020+F1018</f>
        <v>9654034.1799999997</v>
      </c>
      <c r="G1058" s="469">
        <f t="shared" si="910"/>
        <v>10619437.598000001</v>
      </c>
      <c r="H1058" s="132"/>
    </row>
    <row r="1059" spans="1:8" s="292" customFormat="1" outlineLevel="2">
      <c r="A1059" s="472"/>
      <c r="B1059" s="472"/>
      <c r="C1059" s="473"/>
      <c r="D1059" s="474"/>
      <c r="E1059" s="475"/>
      <c r="F1059" s="440">
        <f t="shared" si="907"/>
        <v>0</v>
      </c>
      <c r="G1059" s="440">
        <f t="shared" si="907"/>
        <v>0</v>
      </c>
      <c r="H1059" s="132"/>
    </row>
    <row r="1060" spans="1:8" s="292" customFormat="1" outlineLevel="2">
      <c r="A1060" s="386"/>
      <c r="B1060" s="386"/>
      <c r="C1060" s="443"/>
      <c r="D1060" s="330" t="s">
        <v>248</v>
      </c>
      <c r="E1060" s="469"/>
      <c r="F1060" s="440"/>
      <c r="G1060" s="440"/>
      <c r="H1060" s="132"/>
    </row>
    <row r="1061" spans="1:8" s="292" customFormat="1" ht="30" outlineLevel="3">
      <c r="A1061" s="389"/>
      <c r="B1061" s="467"/>
      <c r="C1061" s="437">
        <v>3110504</v>
      </c>
      <c r="D1061" s="326" t="s">
        <v>272</v>
      </c>
      <c r="E1061" s="468">
        <v>3000000</v>
      </c>
      <c r="F1061" s="440">
        <f>E1061*1.1</f>
        <v>3300000.0000000005</v>
      </c>
      <c r="G1061" s="440">
        <f>F1061*1.1</f>
        <v>3630000.0000000009</v>
      </c>
      <c r="H1061" s="132"/>
    </row>
    <row r="1062" spans="1:8" s="292" customFormat="1" ht="30" outlineLevel="3">
      <c r="A1062" s="389"/>
      <c r="B1062" s="467"/>
      <c r="C1062" s="437">
        <v>3110504</v>
      </c>
      <c r="D1062" s="326" t="s">
        <v>273</v>
      </c>
      <c r="E1062" s="468">
        <v>3500000</v>
      </c>
      <c r="F1062" s="440">
        <f t="shared" si="907"/>
        <v>3850000.0000000005</v>
      </c>
      <c r="G1062" s="440">
        <f t="shared" si="907"/>
        <v>4235000.0000000009</v>
      </c>
      <c r="H1062" s="132"/>
    </row>
    <row r="1063" spans="1:8" s="292" customFormat="1" ht="30" outlineLevel="3">
      <c r="A1063" s="389"/>
      <c r="B1063" s="467"/>
      <c r="C1063" s="437">
        <v>3110504</v>
      </c>
      <c r="D1063" s="326" t="s">
        <v>274</v>
      </c>
      <c r="E1063" s="468">
        <v>2000000</v>
      </c>
      <c r="F1063" s="440">
        <f t="shared" si="907"/>
        <v>2200000</v>
      </c>
      <c r="G1063" s="440">
        <f t="shared" si="907"/>
        <v>2420000</v>
      </c>
      <c r="H1063" s="132"/>
    </row>
    <row r="1064" spans="1:8" s="292" customFormat="1" ht="30" outlineLevel="3">
      <c r="A1064" s="389"/>
      <c r="B1064" s="467"/>
      <c r="C1064" s="437">
        <v>3110504</v>
      </c>
      <c r="D1064" s="326" t="s">
        <v>275</v>
      </c>
      <c r="E1064" s="468">
        <v>1000000</v>
      </c>
      <c r="F1064" s="440">
        <f t="shared" si="907"/>
        <v>1100000</v>
      </c>
      <c r="G1064" s="440">
        <f t="shared" si="907"/>
        <v>1210000</v>
      </c>
      <c r="H1064" s="132"/>
    </row>
    <row r="1065" spans="1:8" s="292" customFormat="1" ht="30" outlineLevel="3">
      <c r="A1065" s="389"/>
      <c r="B1065" s="467"/>
      <c r="C1065" s="437">
        <v>3110504</v>
      </c>
      <c r="D1065" s="326" t="s">
        <v>276</v>
      </c>
      <c r="E1065" s="468">
        <v>700000</v>
      </c>
      <c r="F1065" s="440">
        <f t="shared" si="907"/>
        <v>770000.00000000012</v>
      </c>
      <c r="G1065" s="440">
        <f t="shared" si="907"/>
        <v>847000.00000000023</v>
      </c>
      <c r="H1065" s="132"/>
    </row>
    <row r="1066" spans="1:8" s="292" customFormat="1" ht="30" outlineLevel="3">
      <c r="A1066" s="389"/>
      <c r="B1066" s="467"/>
      <c r="C1066" s="437">
        <v>3110504</v>
      </c>
      <c r="D1066" s="326" t="s">
        <v>277</v>
      </c>
      <c r="E1066" s="468">
        <f>2800000-100000</f>
        <v>2700000</v>
      </c>
      <c r="F1066" s="440">
        <f t="shared" si="907"/>
        <v>2970000.0000000005</v>
      </c>
      <c r="G1066" s="440">
        <f t="shared" si="907"/>
        <v>3267000.0000000009</v>
      </c>
      <c r="H1066" s="132"/>
    </row>
    <row r="1067" spans="1:8" s="292" customFormat="1" ht="30" outlineLevel="3">
      <c r="A1067" s="389"/>
      <c r="B1067" s="467"/>
      <c r="C1067" s="437">
        <v>3110504</v>
      </c>
      <c r="D1067" s="326" t="s">
        <v>278</v>
      </c>
      <c r="E1067" s="468">
        <v>2000000</v>
      </c>
      <c r="F1067" s="440">
        <f t="shared" si="907"/>
        <v>2200000</v>
      </c>
      <c r="G1067" s="440">
        <f t="shared" si="907"/>
        <v>2420000</v>
      </c>
      <c r="H1067" s="132"/>
    </row>
    <row r="1068" spans="1:8" s="292" customFormat="1" outlineLevel="3">
      <c r="A1068" s="389"/>
      <c r="B1068" s="467"/>
      <c r="C1068" s="437"/>
      <c r="D1068" s="330" t="s">
        <v>253</v>
      </c>
      <c r="E1068" s="462">
        <f>E1066+E1064+E1063+E1062+E1061+E1067+E1065</f>
        <v>14900000</v>
      </c>
      <c r="F1068" s="462">
        <f t="shared" ref="F1068:G1068" si="911">F1066+F1064+F1063+F1062+F1061+F1067+F1065</f>
        <v>16390000</v>
      </c>
      <c r="G1068" s="462">
        <f t="shared" si="911"/>
        <v>18029000.000000004</v>
      </c>
      <c r="H1068" s="132"/>
    </row>
    <row r="1069" spans="1:8" s="292" customFormat="1" outlineLevel="1">
      <c r="A1069" s="386"/>
      <c r="B1069" s="386"/>
      <c r="C1069" s="443"/>
      <c r="D1069" s="330" t="s">
        <v>279</v>
      </c>
      <c r="E1069" s="469">
        <f>E1068+E1058</f>
        <v>23077303.800000001</v>
      </c>
      <c r="F1069" s="469">
        <f>F1068+F1058</f>
        <v>26044034.18</v>
      </c>
      <c r="G1069" s="469">
        <f>G1068+G1058</f>
        <v>28648437.598000005</v>
      </c>
      <c r="H1069" s="132"/>
    </row>
    <row r="1070" spans="1:8" s="292" customFormat="1" outlineLevel="1">
      <c r="A1070" s="386"/>
      <c r="B1070" s="386"/>
      <c r="C1070" s="443"/>
      <c r="D1070" s="330"/>
      <c r="E1070" s="469"/>
      <c r="F1070" s="469"/>
      <c r="G1070" s="469"/>
      <c r="H1070" s="132"/>
    </row>
    <row r="1071" spans="1:8" s="292" customFormat="1" outlineLevel="1">
      <c r="A1071" s="386"/>
      <c r="B1071" s="386"/>
      <c r="C1071" s="443"/>
      <c r="D1071" s="330" t="s">
        <v>280</v>
      </c>
      <c r="E1071" s="469">
        <f>E1058+E1008+E953</f>
        <v>69760951.111000001</v>
      </c>
      <c r="F1071" s="469">
        <f>F1058+F1008+F953</f>
        <v>77350046.222100005</v>
      </c>
      <c r="G1071" s="469">
        <f>G1058+G1008+G953</f>
        <v>85085050.844310015</v>
      </c>
      <c r="H1071" s="132"/>
    </row>
    <row r="1072" spans="1:8" s="292" customFormat="1" outlineLevel="1">
      <c r="A1072" s="386"/>
      <c r="B1072" s="386"/>
      <c r="C1072" s="443"/>
      <c r="D1072" s="330" t="s">
        <v>281</v>
      </c>
      <c r="E1072" s="469">
        <f>E1014+E1068+E961</f>
        <v>23800000</v>
      </c>
      <c r="F1072" s="469">
        <f>F1014+F1068+F961</f>
        <v>26180000</v>
      </c>
      <c r="G1072" s="469">
        <f>G1014+G1068+G961</f>
        <v>28798000.000000004</v>
      </c>
      <c r="H1072" s="132"/>
    </row>
    <row r="1073" spans="1:8" s="292" customFormat="1" outlineLevel="1">
      <c r="A1073" s="386"/>
      <c r="B1073" s="386"/>
      <c r="C1073" s="476"/>
      <c r="D1073" s="477" t="s">
        <v>282</v>
      </c>
      <c r="E1073" s="469">
        <f>E1072+E1071</f>
        <v>93560951.111000001</v>
      </c>
      <c r="F1073" s="469">
        <f t="shared" ref="F1073:G1073" si="912">F1072+F1071</f>
        <v>103530046.2221</v>
      </c>
      <c r="G1073" s="469">
        <f t="shared" si="912"/>
        <v>113883050.84431002</v>
      </c>
      <c r="H1073" s="132"/>
    </row>
    <row r="1074" spans="1:8" s="292" customFormat="1" outlineLevel="1">
      <c r="A1074" s="473"/>
      <c r="B1074" s="473"/>
      <c r="C1074" s="473"/>
      <c r="D1074" s="474"/>
      <c r="E1074" s="475"/>
      <c r="F1074" s="440">
        <f t="shared" ref="F1074:G1090" si="913">E1074*1.1</f>
        <v>0</v>
      </c>
      <c r="G1074" s="440">
        <f t="shared" si="913"/>
        <v>0</v>
      </c>
      <c r="H1074" s="132"/>
    </row>
    <row r="1075" spans="1:8" s="292" customFormat="1" outlineLevel="1">
      <c r="A1075" s="386"/>
      <c r="B1075" s="386"/>
      <c r="C1075" s="438" t="s">
        <v>283</v>
      </c>
      <c r="D1075" s="317"/>
      <c r="E1075" s="466"/>
      <c r="F1075" s="440">
        <f t="shared" si="913"/>
        <v>0</v>
      </c>
      <c r="G1075" s="440">
        <f t="shared" si="913"/>
        <v>0</v>
      </c>
      <c r="H1075" s="132"/>
    </row>
    <row r="1076" spans="1:8" s="292" customFormat="1" outlineLevel="1">
      <c r="A1076" s="386"/>
      <c r="B1076" s="386"/>
      <c r="C1076" s="438" t="s">
        <v>284</v>
      </c>
      <c r="D1076" s="317"/>
      <c r="E1076" s="466"/>
      <c r="F1076" s="440">
        <f t="shared" si="913"/>
        <v>0</v>
      </c>
      <c r="G1076" s="440">
        <f t="shared" si="913"/>
        <v>0</v>
      </c>
      <c r="H1076" s="132"/>
    </row>
    <row r="1077" spans="1:8" s="292" customFormat="1" outlineLevel="2">
      <c r="A1077" s="441"/>
      <c r="B1077" s="441"/>
      <c r="C1077" s="386">
        <v>2110100</v>
      </c>
      <c r="D1077" s="330" t="s">
        <v>13</v>
      </c>
      <c r="E1077" s="462">
        <f>E1078</f>
        <v>9088140.5999999996</v>
      </c>
      <c r="F1077" s="462">
        <f t="shared" ref="F1077:G1077" si="914">F1078</f>
        <v>9996954.6600000001</v>
      </c>
      <c r="G1077" s="462">
        <f t="shared" si="914"/>
        <v>10996650.126</v>
      </c>
      <c r="H1077" s="132"/>
    </row>
    <row r="1078" spans="1:8" s="292" customFormat="1" outlineLevel="2">
      <c r="A1078" s="355"/>
      <c r="B1078" s="355"/>
      <c r="C1078" s="389">
        <v>2110101</v>
      </c>
      <c r="D1078" s="326" t="s">
        <v>14</v>
      </c>
      <c r="E1078" s="468">
        <v>9088140.5999999996</v>
      </c>
      <c r="F1078" s="440">
        <f t="shared" si="913"/>
        <v>9996954.6600000001</v>
      </c>
      <c r="G1078" s="440">
        <f t="shared" si="913"/>
        <v>10996650.126</v>
      </c>
      <c r="H1078" s="132"/>
    </row>
    <row r="1079" spans="1:8" s="292" customFormat="1" outlineLevel="2">
      <c r="A1079" s="441"/>
      <c r="B1079" s="441"/>
      <c r="C1079" s="386" t="s">
        <v>207</v>
      </c>
      <c r="D1079" s="330" t="s">
        <v>16</v>
      </c>
      <c r="E1079" s="462">
        <f>E1080+E1081+E1082</f>
        <v>29368.9</v>
      </c>
      <c r="F1079" s="462">
        <f t="shared" ref="F1079:G1079" si="915">F1080+F1081+F1082</f>
        <v>32305.790000000005</v>
      </c>
      <c r="G1079" s="462">
        <f t="shared" si="915"/>
        <v>35536.369000000006</v>
      </c>
      <c r="H1079" s="132"/>
    </row>
    <row r="1080" spans="1:8" s="292" customFormat="1" outlineLevel="2">
      <c r="A1080" s="355"/>
      <c r="B1080" s="355"/>
      <c r="C1080" s="389">
        <v>2210101</v>
      </c>
      <c r="D1080" s="326" t="s">
        <v>17</v>
      </c>
      <c r="E1080" s="468">
        <v>11000</v>
      </c>
      <c r="F1080" s="440">
        <f t="shared" si="913"/>
        <v>12100.000000000002</v>
      </c>
      <c r="G1080" s="440">
        <f t="shared" si="913"/>
        <v>13310.000000000004</v>
      </c>
      <c r="H1080" s="132"/>
    </row>
    <row r="1081" spans="1:8" s="292" customFormat="1" outlineLevel="2">
      <c r="A1081" s="355"/>
      <c r="B1081" s="355"/>
      <c r="C1081" s="389">
        <v>2210102</v>
      </c>
      <c r="D1081" s="326" t="s">
        <v>18</v>
      </c>
      <c r="E1081" s="468">
        <v>11000</v>
      </c>
      <c r="F1081" s="440">
        <f t="shared" si="913"/>
        <v>12100.000000000002</v>
      </c>
      <c r="G1081" s="440">
        <f t="shared" si="913"/>
        <v>13310.000000000004</v>
      </c>
      <c r="H1081" s="132"/>
    </row>
    <row r="1082" spans="1:8" s="292" customFormat="1" outlineLevel="2">
      <c r="A1082" s="355"/>
      <c r="B1082" s="355"/>
      <c r="C1082" s="389">
        <v>2210103</v>
      </c>
      <c r="D1082" s="326" t="s">
        <v>22</v>
      </c>
      <c r="E1082" s="468">
        <v>7368.9</v>
      </c>
      <c r="F1082" s="440">
        <f t="shared" si="913"/>
        <v>8105.79</v>
      </c>
      <c r="G1082" s="440">
        <f t="shared" si="913"/>
        <v>8916.3690000000006</v>
      </c>
      <c r="H1082" s="132"/>
    </row>
    <row r="1083" spans="1:8" s="292" customFormat="1" outlineLevel="2">
      <c r="A1083" s="441"/>
      <c r="B1083" s="441"/>
      <c r="C1083" s="386">
        <v>2210200</v>
      </c>
      <c r="D1083" s="333" t="s">
        <v>19</v>
      </c>
      <c r="E1083" s="462">
        <f>E1084+E1085</f>
        <v>184250</v>
      </c>
      <c r="F1083" s="462">
        <f t="shared" ref="F1083:G1083" si="916">F1084+F1085</f>
        <v>202675.00000000003</v>
      </c>
      <c r="G1083" s="462">
        <f t="shared" si="916"/>
        <v>222942.50000000006</v>
      </c>
      <c r="H1083" s="132"/>
    </row>
    <row r="1084" spans="1:8" s="292" customFormat="1" outlineLevel="2">
      <c r="A1084" s="355"/>
      <c r="B1084" s="355"/>
      <c r="C1084" s="389">
        <v>2210201</v>
      </c>
      <c r="D1084" s="332" t="s">
        <v>20</v>
      </c>
      <c r="E1084" s="468">
        <v>173250</v>
      </c>
      <c r="F1084" s="440">
        <f t="shared" si="913"/>
        <v>190575.00000000003</v>
      </c>
      <c r="G1084" s="440">
        <f t="shared" si="913"/>
        <v>209632.50000000006</v>
      </c>
      <c r="H1084" s="132"/>
    </row>
    <row r="1085" spans="1:8" s="292" customFormat="1" outlineLevel="2">
      <c r="A1085" s="355"/>
      <c r="B1085" s="355"/>
      <c r="C1085" s="389">
        <v>2210202</v>
      </c>
      <c r="D1085" s="332" t="s">
        <v>21</v>
      </c>
      <c r="E1085" s="468">
        <v>11000</v>
      </c>
      <c r="F1085" s="440">
        <f t="shared" si="913"/>
        <v>12100.000000000002</v>
      </c>
      <c r="G1085" s="440">
        <f t="shared" si="913"/>
        <v>13310.000000000004</v>
      </c>
      <c r="H1085" s="132"/>
    </row>
    <row r="1086" spans="1:8" s="292" customFormat="1" ht="30" outlineLevel="2">
      <c r="A1086" s="441"/>
      <c r="B1086" s="441"/>
      <c r="C1086" s="386">
        <v>2210300</v>
      </c>
      <c r="D1086" s="333" t="s">
        <v>23</v>
      </c>
      <c r="E1086" s="462">
        <f>E1087+E1088+E1089+E1090</f>
        <v>1660696</v>
      </c>
      <c r="F1086" s="462">
        <f t="shared" ref="F1086:G1086" si="917">F1087+F1088+F1089+F1090</f>
        <v>1826765.6000000003</v>
      </c>
      <c r="G1086" s="462">
        <f t="shared" si="917"/>
        <v>2009442.1600000004</v>
      </c>
      <c r="H1086" s="132"/>
    </row>
    <row r="1087" spans="1:8" s="292" customFormat="1" outlineLevel="2">
      <c r="A1087" s="355"/>
      <c r="B1087" s="355"/>
      <c r="C1087" s="389">
        <v>2210301</v>
      </c>
      <c r="D1087" s="332" t="s">
        <v>24</v>
      </c>
      <c r="E1087" s="468">
        <f>561440-310000</f>
        <v>251440</v>
      </c>
      <c r="F1087" s="440">
        <f t="shared" si="913"/>
        <v>276584</v>
      </c>
      <c r="G1087" s="440">
        <f t="shared" si="913"/>
        <v>304242.40000000002</v>
      </c>
      <c r="H1087" s="132"/>
    </row>
    <row r="1088" spans="1:8" s="292" customFormat="1" outlineLevel="2">
      <c r="A1088" s="355"/>
      <c r="B1088" s="355"/>
      <c r="C1088" s="389">
        <v>2210302</v>
      </c>
      <c r="D1088" s="332" t="s">
        <v>25</v>
      </c>
      <c r="E1088" s="468">
        <f>736890-78000</f>
        <v>658890</v>
      </c>
      <c r="F1088" s="440">
        <f t="shared" si="913"/>
        <v>724779.00000000012</v>
      </c>
      <c r="G1088" s="440">
        <f t="shared" si="913"/>
        <v>797256.90000000014</v>
      </c>
      <c r="H1088" s="132"/>
    </row>
    <row r="1089" spans="1:8" s="292" customFormat="1" outlineLevel="2">
      <c r="A1089" s="355"/>
      <c r="B1089" s="355"/>
      <c r="C1089" s="389">
        <v>2210303</v>
      </c>
      <c r="D1089" s="332" t="s">
        <v>26</v>
      </c>
      <c r="E1089" s="468">
        <f>1087790-250000-100000-68000</f>
        <v>669790</v>
      </c>
      <c r="F1089" s="440">
        <f t="shared" si="913"/>
        <v>736769.00000000012</v>
      </c>
      <c r="G1089" s="440">
        <f t="shared" si="913"/>
        <v>810445.90000000014</v>
      </c>
      <c r="H1089" s="132"/>
    </row>
    <row r="1090" spans="1:8" s="292" customFormat="1" outlineLevel="2">
      <c r="A1090" s="355"/>
      <c r="B1090" s="355"/>
      <c r="C1090" s="437">
        <v>2210304</v>
      </c>
      <c r="D1090" s="326" t="s">
        <v>27</v>
      </c>
      <c r="E1090" s="468">
        <f>224576-28000-116000</f>
        <v>80576</v>
      </c>
      <c r="F1090" s="440">
        <f t="shared" si="913"/>
        <v>88633.600000000006</v>
      </c>
      <c r="G1090" s="440">
        <f t="shared" si="913"/>
        <v>97496.960000000021</v>
      </c>
      <c r="H1090" s="132"/>
    </row>
    <row r="1091" spans="1:8" s="292" customFormat="1" outlineLevel="2">
      <c r="A1091" s="441"/>
      <c r="B1091" s="441"/>
      <c r="C1091" s="386">
        <v>2210500</v>
      </c>
      <c r="D1091" s="333" t="s">
        <v>30</v>
      </c>
      <c r="E1091" s="462">
        <f>E1092+E1093+E1094</f>
        <v>349592.5</v>
      </c>
      <c r="F1091" s="462">
        <f t="shared" ref="F1091:G1091" si="918">F1092+F1093+F1094</f>
        <v>384551.75</v>
      </c>
      <c r="G1091" s="462">
        <f t="shared" si="918"/>
        <v>423006.92500000005</v>
      </c>
      <c r="H1091" s="132"/>
    </row>
    <row r="1092" spans="1:8" s="292" customFormat="1" outlineLevel="2">
      <c r="A1092" s="478"/>
      <c r="B1092" s="478"/>
      <c r="C1092" s="389">
        <v>2210502</v>
      </c>
      <c r="D1092" s="332" t="s">
        <v>285</v>
      </c>
      <c r="E1092" s="468">
        <f>112288-20000</f>
        <v>92288</v>
      </c>
      <c r="F1092" s="440">
        <f t="shared" ref="F1092:G1110" si="919">E1092*1.1</f>
        <v>101516.8</v>
      </c>
      <c r="G1092" s="440">
        <f t="shared" si="919"/>
        <v>111668.48000000001</v>
      </c>
      <c r="H1092" s="132"/>
    </row>
    <row r="1093" spans="1:8" s="292" customFormat="1" outlineLevel="2">
      <c r="A1093" s="355"/>
      <c r="B1093" s="355"/>
      <c r="C1093" s="389">
        <v>2210503</v>
      </c>
      <c r="D1093" s="332" t="s">
        <v>31</v>
      </c>
      <c r="E1093" s="468">
        <f>16500+28000</f>
        <v>44500</v>
      </c>
      <c r="F1093" s="440">
        <f t="shared" si="919"/>
        <v>48950.000000000007</v>
      </c>
      <c r="G1093" s="440">
        <f t="shared" si="919"/>
        <v>53845.000000000015</v>
      </c>
      <c r="H1093" s="132"/>
    </row>
    <row r="1094" spans="1:8" s="292" customFormat="1" outlineLevel="2">
      <c r="A1094" s="355"/>
      <c r="B1094" s="355"/>
      <c r="C1094" s="437">
        <v>2210504</v>
      </c>
      <c r="D1094" s="326" t="s">
        <v>192</v>
      </c>
      <c r="E1094" s="468">
        <f>372278.5-59474-100000</f>
        <v>212804.5</v>
      </c>
      <c r="F1094" s="440">
        <f t="shared" si="919"/>
        <v>234084.95</v>
      </c>
      <c r="G1094" s="440">
        <f t="shared" si="919"/>
        <v>257493.44500000004</v>
      </c>
      <c r="H1094" s="132"/>
    </row>
    <row r="1095" spans="1:8" s="292" customFormat="1" outlineLevel="2">
      <c r="A1095" s="438"/>
      <c r="B1095" s="438"/>
      <c r="C1095" s="386">
        <v>2210700</v>
      </c>
      <c r="D1095" s="333" t="s">
        <v>34</v>
      </c>
      <c r="E1095" s="462">
        <f>E1096+E1097+E1098+E1099+E1100+E1101+E1102</f>
        <v>1021143.1</v>
      </c>
      <c r="F1095" s="462">
        <f t="shared" ref="F1095:G1095" si="920">F1096+F1097+F1098+F1099+F1100+F1101+F1102</f>
        <v>1123257.4100000001</v>
      </c>
      <c r="G1095" s="462">
        <f t="shared" si="920"/>
        <v>1235583.1510000003</v>
      </c>
      <c r="H1095" s="132"/>
    </row>
    <row r="1096" spans="1:8" s="292" customFormat="1" outlineLevel="2">
      <c r="A1096" s="355"/>
      <c r="B1096" s="355"/>
      <c r="C1096" s="389">
        <v>2210701</v>
      </c>
      <c r="D1096" s="332" t="s">
        <v>35</v>
      </c>
      <c r="E1096" s="468">
        <v>385000</v>
      </c>
      <c r="F1096" s="440">
        <f t="shared" si="919"/>
        <v>423500.00000000006</v>
      </c>
      <c r="G1096" s="440">
        <f t="shared" si="919"/>
        <v>465850.00000000012</v>
      </c>
      <c r="H1096" s="132"/>
    </row>
    <row r="1097" spans="1:8" s="292" customFormat="1" outlineLevel="2">
      <c r="A1097" s="355"/>
      <c r="B1097" s="355"/>
      <c r="C1097" s="389">
        <v>2210702</v>
      </c>
      <c r="D1097" s="332" t="s">
        <v>83</v>
      </c>
      <c r="E1097" s="468">
        <f>110000-70000+59000+100000</f>
        <v>199000</v>
      </c>
      <c r="F1097" s="440">
        <f t="shared" si="919"/>
        <v>218900.00000000003</v>
      </c>
      <c r="G1097" s="440">
        <f t="shared" si="919"/>
        <v>240790.00000000006</v>
      </c>
      <c r="H1097" s="132"/>
    </row>
    <row r="1098" spans="1:8" s="292" customFormat="1" outlineLevel="2">
      <c r="A1098" s="355"/>
      <c r="B1098" s="355"/>
      <c r="C1098" s="389">
        <v>2210703</v>
      </c>
      <c r="D1098" s="332" t="s">
        <v>166</v>
      </c>
      <c r="E1098" s="468">
        <f>109143.1-59000</f>
        <v>50143.100000000006</v>
      </c>
      <c r="F1098" s="440">
        <f t="shared" si="919"/>
        <v>55157.410000000011</v>
      </c>
      <c r="G1098" s="440">
        <f t="shared" si="919"/>
        <v>60673.15100000002</v>
      </c>
      <c r="H1098" s="132"/>
    </row>
    <row r="1099" spans="1:8" s="292" customFormat="1" outlineLevel="2">
      <c r="A1099" s="355"/>
      <c r="B1099" s="355"/>
      <c r="C1099" s="389">
        <v>2210704</v>
      </c>
      <c r="D1099" s="332" t="s">
        <v>37</v>
      </c>
      <c r="E1099" s="468">
        <f>110000-15000</f>
        <v>95000</v>
      </c>
      <c r="F1099" s="440">
        <f t="shared" si="919"/>
        <v>104500.00000000001</v>
      </c>
      <c r="G1099" s="440">
        <f t="shared" si="919"/>
        <v>114950.00000000003</v>
      </c>
      <c r="H1099" s="132"/>
    </row>
    <row r="1100" spans="1:8" s="292" customFormat="1" outlineLevel="2">
      <c r="A1100" s="355"/>
      <c r="B1100" s="355"/>
      <c r="C1100" s="389">
        <v>2210710</v>
      </c>
      <c r="D1100" s="332" t="s">
        <v>38</v>
      </c>
      <c r="E1100" s="468">
        <f>110000-26000</f>
        <v>84000</v>
      </c>
      <c r="F1100" s="440">
        <f t="shared" si="919"/>
        <v>92400.000000000015</v>
      </c>
      <c r="G1100" s="440">
        <f t="shared" si="919"/>
        <v>101640.00000000003</v>
      </c>
      <c r="H1100" s="132"/>
    </row>
    <row r="1101" spans="1:8" s="292" customFormat="1" outlineLevel="2">
      <c r="A1101" s="355"/>
      <c r="B1101" s="355"/>
      <c r="C1101" s="389" t="s">
        <v>215</v>
      </c>
      <c r="D1101" s="332" t="s">
        <v>286</v>
      </c>
      <c r="E1101" s="468">
        <f>110000-12000</f>
        <v>98000</v>
      </c>
      <c r="F1101" s="440">
        <f t="shared" si="919"/>
        <v>107800.00000000001</v>
      </c>
      <c r="G1101" s="440">
        <f t="shared" si="919"/>
        <v>118580.00000000003</v>
      </c>
      <c r="H1101" s="132"/>
    </row>
    <row r="1102" spans="1:8" s="292" customFormat="1" outlineLevel="2">
      <c r="A1102" s="355"/>
      <c r="B1102" s="355"/>
      <c r="C1102" s="389">
        <v>2210715</v>
      </c>
      <c r="D1102" s="332" t="s">
        <v>39</v>
      </c>
      <c r="E1102" s="468">
        <v>110000</v>
      </c>
      <c r="F1102" s="440">
        <f t="shared" si="919"/>
        <v>121000.00000000001</v>
      </c>
      <c r="G1102" s="440">
        <f t="shared" si="919"/>
        <v>133100.00000000003</v>
      </c>
      <c r="H1102" s="132"/>
    </row>
    <row r="1103" spans="1:8" s="292" customFormat="1" outlineLevel="2">
      <c r="A1103" s="355"/>
      <c r="B1103" s="355"/>
      <c r="C1103" s="386">
        <v>2210800</v>
      </c>
      <c r="D1103" s="333" t="s">
        <v>41</v>
      </c>
      <c r="E1103" s="462">
        <f>E1104+E1105+E1106</f>
        <v>25500000</v>
      </c>
      <c r="F1103" s="462">
        <f t="shared" ref="F1103:G1103" si="921">F1104+F1105+F1106</f>
        <v>28050000.000000004</v>
      </c>
      <c r="G1103" s="462">
        <f t="shared" si="921"/>
        <v>30855000.000000007</v>
      </c>
      <c r="H1103" s="132"/>
    </row>
    <row r="1104" spans="1:8" s="292" customFormat="1" ht="30" outlineLevel="2">
      <c r="A1104" s="438"/>
      <c r="B1104" s="438"/>
      <c r="C1104" s="389">
        <v>2210801</v>
      </c>
      <c r="D1104" s="332" t="s">
        <v>240</v>
      </c>
      <c r="E1104" s="468">
        <f>220000-20000</f>
        <v>200000</v>
      </c>
      <c r="F1104" s="440">
        <f t="shared" si="919"/>
        <v>220000.00000000003</v>
      </c>
      <c r="G1104" s="440">
        <f t="shared" si="919"/>
        <v>242000.00000000006</v>
      </c>
      <c r="H1104" s="132"/>
    </row>
    <row r="1105" spans="1:8" s="292" customFormat="1" ht="60" outlineLevel="2">
      <c r="A1105" s="355"/>
      <c r="B1105" s="355"/>
      <c r="C1105" s="389">
        <v>2210802</v>
      </c>
      <c r="D1105" s="332" t="s">
        <v>287</v>
      </c>
      <c r="E1105" s="468">
        <f>330000-30000</f>
        <v>300000</v>
      </c>
      <c r="F1105" s="440">
        <f t="shared" si="919"/>
        <v>330000</v>
      </c>
      <c r="G1105" s="440">
        <f t="shared" si="919"/>
        <v>363000.00000000006</v>
      </c>
      <c r="H1105" s="132"/>
    </row>
    <row r="1106" spans="1:8" s="292" customFormat="1" ht="30" outlineLevel="2">
      <c r="A1106" s="478"/>
      <c r="B1106" s="478"/>
      <c r="C1106" s="389" t="s">
        <v>288</v>
      </c>
      <c r="D1106" s="332" t="s">
        <v>289</v>
      </c>
      <c r="E1106" s="468">
        <v>25000000</v>
      </c>
      <c r="F1106" s="440">
        <f t="shared" si="919"/>
        <v>27500000.000000004</v>
      </c>
      <c r="G1106" s="440">
        <f t="shared" si="919"/>
        <v>30250000.000000007</v>
      </c>
      <c r="H1106" s="132"/>
    </row>
    <row r="1107" spans="1:8" s="292" customFormat="1" outlineLevel="2">
      <c r="A1107" s="447"/>
      <c r="B1107" s="447"/>
      <c r="C1107" s="386">
        <v>2211000</v>
      </c>
      <c r="D1107" s="333" t="s">
        <v>173</v>
      </c>
      <c r="E1107" s="462">
        <f>E1108</f>
        <v>100000</v>
      </c>
      <c r="F1107" s="462">
        <f t="shared" ref="F1107:G1107" si="922">F1108</f>
        <v>110000.00000000001</v>
      </c>
      <c r="G1107" s="462">
        <f t="shared" si="922"/>
        <v>121000.00000000003</v>
      </c>
      <c r="H1107" s="132"/>
    </row>
    <row r="1108" spans="1:8" s="292" customFormat="1" outlineLevel="2">
      <c r="A1108" s="441"/>
      <c r="B1108" s="441"/>
      <c r="C1108" s="451">
        <v>2211016</v>
      </c>
      <c r="D1108" s="346" t="s">
        <v>219</v>
      </c>
      <c r="E1108" s="468">
        <f>22000+78000</f>
        <v>100000</v>
      </c>
      <c r="F1108" s="440">
        <f t="shared" si="919"/>
        <v>110000.00000000001</v>
      </c>
      <c r="G1108" s="440">
        <f t="shared" si="919"/>
        <v>121000.00000000003</v>
      </c>
      <c r="H1108" s="132"/>
    </row>
    <row r="1109" spans="1:8" s="292" customFormat="1" outlineLevel="2">
      <c r="A1109" s="355"/>
      <c r="B1109" s="355"/>
      <c r="C1109" s="386">
        <v>2211100</v>
      </c>
      <c r="D1109" s="333" t="s">
        <v>49</v>
      </c>
      <c r="E1109" s="462">
        <f>E1110+E1111+E1112</f>
        <v>381000</v>
      </c>
      <c r="F1109" s="462">
        <f t="shared" ref="F1109:G1109" si="923">F1110+F1111+F1112</f>
        <v>419100.00000000006</v>
      </c>
      <c r="G1109" s="462">
        <f t="shared" si="923"/>
        <v>461010.00000000012</v>
      </c>
      <c r="H1109" s="132"/>
    </row>
    <row r="1110" spans="1:8" s="292" customFormat="1" ht="30" outlineLevel="2">
      <c r="A1110" s="441"/>
      <c r="B1110" s="441"/>
      <c r="C1110" s="389">
        <v>2211101</v>
      </c>
      <c r="D1110" s="332" t="s">
        <v>87</v>
      </c>
      <c r="E1110" s="468">
        <f>126500+84000</f>
        <v>210500</v>
      </c>
      <c r="F1110" s="440">
        <f t="shared" si="919"/>
        <v>231550.00000000003</v>
      </c>
      <c r="G1110" s="440">
        <f t="shared" si="919"/>
        <v>254705.00000000006</v>
      </c>
      <c r="H1110" s="132"/>
    </row>
    <row r="1111" spans="1:8" s="292" customFormat="1" outlineLevel="2">
      <c r="A1111" s="478"/>
      <c r="B1111" s="478"/>
      <c r="C1111" s="389">
        <v>2211102</v>
      </c>
      <c r="D1111" s="332" t="s">
        <v>51</v>
      </c>
      <c r="E1111" s="468">
        <v>82500</v>
      </c>
      <c r="F1111" s="440">
        <f t="shared" ref="F1111:G1129" si="924">E1111*1.1</f>
        <v>90750.000000000015</v>
      </c>
      <c r="G1111" s="440">
        <f t="shared" si="924"/>
        <v>99825.000000000029</v>
      </c>
      <c r="H1111" s="132"/>
    </row>
    <row r="1112" spans="1:8" s="292" customFormat="1" outlineLevel="2">
      <c r="A1112" s="355"/>
      <c r="B1112" s="355"/>
      <c r="C1112" s="389">
        <v>2211103</v>
      </c>
      <c r="D1112" s="332" t="s">
        <v>52</v>
      </c>
      <c r="E1112" s="468">
        <v>88000</v>
      </c>
      <c r="F1112" s="440">
        <f t="shared" si="924"/>
        <v>96800.000000000015</v>
      </c>
      <c r="G1112" s="440">
        <f t="shared" si="924"/>
        <v>106480.00000000003</v>
      </c>
      <c r="H1112" s="132"/>
    </row>
    <row r="1113" spans="1:8" s="292" customFormat="1" outlineLevel="2">
      <c r="A1113" s="355"/>
      <c r="B1113" s="355"/>
      <c r="C1113" s="386">
        <v>2211200</v>
      </c>
      <c r="D1113" s="333" t="s">
        <v>53</v>
      </c>
      <c r="E1113" s="462">
        <f>E1114+E1115</f>
        <v>980000</v>
      </c>
      <c r="F1113" s="462">
        <f t="shared" ref="F1113:G1113" si="925">F1114+F1115</f>
        <v>1078000</v>
      </c>
      <c r="G1113" s="462">
        <f t="shared" si="925"/>
        <v>1185800</v>
      </c>
      <c r="H1113" s="132"/>
    </row>
    <row r="1114" spans="1:8" s="292" customFormat="1" outlineLevel="2">
      <c r="A1114" s="441"/>
      <c r="B1114" s="441"/>
      <c r="C1114" s="389">
        <v>2211201</v>
      </c>
      <c r="D1114" s="332" t="s">
        <v>91</v>
      </c>
      <c r="E1114" s="468">
        <f>605000-200000+71500+37000</f>
        <v>513500</v>
      </c>
      <c r="F1114" s="440">
        <f t="shared" si="924"/>
        <v>564850</v>
      </c>
      <c r="G1114" s="440">
        <f t="shared" si="924"/>
        <v>621335</v>
      </c>
      <c r="H1114" s="132"/>
    </row>
    <row r="1115" spans="1:8" s="292" customFormat="1" outlineLevel="2">
      <c r="A1115" s="355"/>
      <c r="B1115" s="355"/>
      <c r="C1115" s="389" t="s">
        <v>222</v>
      </c>
      <c r="D1115" s="332" t="s">
        <v>223</v>
      </c>
      <c r="E1115" s="468">
        <f>275000-100000+116000+132500+43000</f>
        <v>466500</v>
      </c>
      <c r="F1115" s="440">
        <f t="shared" si="924"/>
        <v>513150.00000000006</v>
      </c>
      <c r="G1115" s="440">
        <f t="shared" si="924"/>
        <v>564465.00000000012</v>
      </c>
      <c r="H1115" s="132"/>
    </row>
    <row r="1116" spans="1:8" s="292" customFormat="1" outlineLevel="2">
      <c r="A1116" s="355"/>
      <c r="B1116" s="355"/>
      <c r="C1116" s="386">
        <v>2211300</v>
      </c>
      <c r="D1116" s="333" t="s">
        <v>55</v>
      </c>
      <c r="E1116" s="462">
        <f>E1117+E1118</f>
        <v>498000</v>
      </c>
      <c r="F1116" s="462">
        <f t="shared" ref="F1116:G1116" si="926">F1117+F1118</f>
        <v>547800</v>
      </c>
      <c r="G1116" s="462">
        <f t="shared" si="926"/>
        <v>602580.00000000012</v>
      </c>
      <c r="H1116" s="132"/>
    </row>
    <row r="1117" spans="1:8" s="292" customFormat="1" ht="45" outlineLevel="2">
      <c r="A1117" s="355"/>
      <c r="B1117" s="355"/>
      <c r="C1117" s="389">
        <v>2211310</v>
      </c>
      <c r="D1117" s="332" t="s">
        <v>290</v>
      </c>
      <c r="E1117" s="468">
        <f>330000-30000</f>
        <v>300000</v>
      </c>
      <c r="F1117" s="440">
        <f t="shared" si="924"/>
        <v>330000</v>
      </c>
      <c r="G1117" s="440">
        <f t="shared" si="924"/>
        <v>363000.00000000006</v>
      </c>
      <c r="H1117" s="132"/>
    </row>
    <row r="1118" spans="1:8" s="292" customFormat="1" ht="30" outlineLevel="2">
      <c r="A1118" s="355"/>
      <c r="B1118" s="355"/>
      <c r="C1118" s="389" t="s">
        <v>291</v>
      </c>
      <c r="D1118" s="698" t="s">
        <v>292</v>
      </c>
      <c r="E1118" s="468">
        <v>198000</v>
      </c>
      <c r="F1118" s="440">
        <f t="shared" si="924"/>
        <v>217800.00000000003</v>
      </c>
      <c r="G1118" s="440">
        <f t="shared" si="924"/>
        <v>239580.00000000006</v>
      </c>
      <c r="H1118" s="132"/>
    </row>
    <row r="1119" spans="1:8" s="292" customFormat="1" ht="30" outlineLevel="2">
      <c r="A1119" s="441"/>
      <c r="B1119" s="441"/>
      <c r="C1119" s="386" t="s">
        <v>293</v>
      </c>
      <c r="D1119" s="333" t="s">
        <v>61</v>
      </c>
      <c r="E1119" s="462">
        <f>E1120+E1121</f>
        <v>190900</v>
      </c>
      <c r="F1119" s="462">
        <f t="shared" ref="F1119:G1119" si="927">F1120+F1121</f>
        <v>209990</v>
      </c>
      <c r="G1119" s="462">
        <f t="shared" si="927"/>
        <v>230989</v>
      </c>
      <c r="H1119" s="132"/>
    </row>
    <row r="1120" spans="1:8" s="292" customFormat="1" outlineLevel="2">
      <c r="A1120" s="355"/>
      <c r="B1120" s="355"/>
      <c r="C1120" s="437">
        <v>2220101</v>
      </c>
      <c r="D1120" s="326" t="s">
        <v>92</v>
      </c>
      <c r="E1120" s="468">
        <v>130900</v>
      </c>
      <c r="F1120" s="440">
        <f t="shared" si="924"/>
        <v>143990</v>
      </c>
      <c r="G1120" s="440">
        <f t="shared" si="924"/>
        <v>158389</v>
      </c>
      <c r="H1120" s="132"/>
    </row>
    <row r="1121" spans="1:8" s="292" customFormat="1" outlineLevel="2">
      <c r="A1121" s="355"/>
      <c r="B1121" s="355"/>
      <c r="C1121" s="437">
        <v>2220105</v>
      </c>
      <c r="D1121" s="326" t="s">
        <v>64</v>
      </c>
      <c r="E1121" s="468">
        <f>110000-50000</f>
        <v>60000</v>
      </c>
      <c r="F1121" s="440">
        <f t="shared" si="924"/>
        <v>66000</v>
      </c>
      <c r="G1121" s="440">
        <f t="shared" si="924"/>
        <v>72600</v>
      </c>
      <c r="H1121" s="132"/>
    </row>
    <row r="1122" spans="1:8" s="292" customFormat="1" outlineLevel="2">
      <c r="A1122" s="441"/>
      <c r="B1122" s="441"/>
      <c r="C1122" s="386">
        <v>2220200</v>
      </c>
      <c r="D1122" s="333" t="s">
        <v>114</v>
      </c>
      <c r="E1122" s="462">
        <f>E1123+E1124</f>
        <v>61000</v>
      </c>
      <c r="F1122" s="462">
        <f t="shared" ref="F1122:G1122" si="928">F1123+F1124</f>
        <v>67100</v>
      </c>
      <c r="G1122" s="462">
        <f t="shared" si="928"/>
        <v>73810</v>
      </c>
      <c r="H1122" s="132"/>
    </row>
    <row r="1123" spans="1:8" s="292" customFormat="1" outlineLevel="2">
      <c r="A1123" s="355"/>
      <c r="B1123" s="355"/>
      <c r="C1123" s="389">
        <v>2220202</v>
      </c>
      <c r="D1123" s="332" t="s">
        <v>63</v>
      </c>
      <c r="E1123" s="468">
        <f>33000-5000</f>
        <v>28000</v>
      </c>
      <c r="F1123" s="440">
        <f t="shared" si="924"/>
        <v>30800.000000000004</v>
      </c>
      <c r="G1123" s="440">
        <f t="shared" si="924"/>
        <v>33880.000000000007</v>
      </c>
      <c r="H1123" s="132"/>
    </row>
    <row r="1124" spans="1:8" s="292" customFormat="1" outlineLevel="2">
      <c r="A1124" s="355"/>
      <c r="B1124" s="355"/>
      <c r="C1124" s="389">
        <v>2220205</v>
      </c>
      <c r="D1124" s="332" t="s">
        <v>180</v>
      </c>
      <c r="E1124" s="468">
        <v>33000</v>
      </c>
      <c r="F1124" s="440">
        <f t="shared" si="924"/>
        <v>36300</v>
      </c>
      <c r="G1124" s="440">
        <f t="shared" si="924"/>
        <v>39930</v>
      </c>
      <c r="H1124" s="132"/>
    </row>
    <row r="1125" spans="1:8" s="292" customFormat="1" outlineLevel="2">
      <c r="A1125" s="441"/>
      <c r="B1125" s="441"/>
      <c r="C1125" s="386">
        <v>3110300</v>
      </c>
      <c r="D1125" s="333" t="s">
        <v>294</v>
      </c>
      <c r="E1125" s="462">
        <f>E1126</f>
        <v>38500</v>
      </c>
      <c r="F1125" s="462">
        <f t="shared" ref="F1125:G1125" si="929">F1126</f>
        <v>42350</v>
      </c>
      <c r="G1125" s="462">
        <f t="shared" si="929"/>
        <v>46585.000000000007</v>
      </c>
      <c r="H1125" s="132"/>
    </row>
    <row r="1126" spans="1:8" s="292" customFormat="1" outlineLevel="2">
      <c r="A1126" s="355"/>
      <c r="B1126" s="355"/>
      <c r="C1126" s="389">
        <v>3110302</v>
      </c>
      <c r="D1126" s="332" t="s">
        <v>295</v>
      </c>
      <c r="E1126" s="468">
        <v>38500</v>
      </c>
      <c r="F1126" s="440">
        <f t="shared" si="924"/>
        <v>42350</v>
      </c>
      <c r="G1126" s="440">
        <f t="shared" si="924"/>
        <v>46585.000000000007</v>
      </c>
      <c r="H1126" s="132"/>
    </row>
    <row r="1127" spans="1:8" s="292" customFormat="1" outlineLevel="2">
      <c r="A1127" s="441"/>
      <c r="B1127" s="441"/>
      <c r="C1127" s="386">
        <v>3111000</v>
      </c>
      <c r="D1127" s="333" t="s">
        <v>65</v>
      </c>
      <c r="E1127" s="462">
        <f>E1128+E1129+E1130</f>
        <v>368075.5</v>
      </c>
      <c r="F1127" s="462">
        <f t="shared" ref="F1127:G1127" si="930">F1128+F1129+F1130</f>
        <v>404883.05000000005</v>
      </c>
      <c r="G1127" s="462">
        <f t="shared" si="930"/>
        <v>445371.35500000004</v>
      </c>
      <c r="H1127" s="132"/>
    </row>
    <row r="1128" spans="1:8" s="292" customFormat="1" outlineLevel="2">
      <c r="A1128" s="355"/>
      <c r="B1128" s="355"/>
      <c r="C1128" s="389">
        <v>3111001</v>
      </c>
      <c r="D1128" s="332" t="s">
        <v>66</v>
      </c>
      <c r="E1128" s="468">
        <v>59653</v>
      </c>
      <c r="F1128" s="440">
        <f t="shared" si="924"/>
        <v>65618.3</v>
      </c>
      <c r="G1128" s="440">
        <f t="shared" si="924"/>
        <v>72180.13</v>
      </c>
      <c r="H1128" s="132"/>
    </row>
    <row r="1129" spans="1:8" s="292" customFormat="1" outlineLevel="2">
      <c r="A1129" s="437"/>
      <c r="B1129" s="437"/>
      <c r="C1129" s="389">
        <v>3111002</v>
      </c>
      <c r="D1129" s="332" t="s">
        <v>67</v>
      </c>
      <c r="E1129" s="468">
        <f>531778.5-200000-132500-37000+310000-200000</f>
        <v>272278.5</v>
      </c>
      <c r="F1129" s="440">
        <f t="shared" si="924"/>
        <v>299506.35000000003</v>
      </c>
      <c r="G1129" s="440">
        <f t="shared" si="924"/>
        <v>329456.98500000004</v>
      </c>
      <c r="H1129" s="132"/>
    </row>
    <row r="1130" spans="1:8" s="292" customFormat="1" outlineLevel="2">
      <c r="A1130" s="479"/>
      <c r="B1130" s="479"/>
      <c r="C1130" s="389">
        <v>3111009</v>
      </c>
      <c r="D1130" s="332" t="s">
        <v>227</v>
      </c>
      <c r="E1130" s="468">
        <f>56144-20000</f>
        <v>36144</v>
      </c>
      <c r="F1130" s="440">
        <f t="shared" ref="F1130:G1149" si="931">E1130*1.1</f>
        <v>39758.400000000001</v>
      </c>
      <c r="G1130" s="440">
        <f>F1130*1.1</f>
        <v>43734.240000000005</v>
      </c>
      <c r="H1130" s="132"/>
    </row>
    <row r="1131" spans="1:8" s="292" customFormat="1" outlineLevel="2">
      <c r="A1131" s="443"/>
      <c r="B1131" s="443"/>
      <c r="C1131" s="443">
        <v>3111400</v>
      </c>
      <c r="D1131" s="330" t="s">
        <v>296</v>
      </c>
      <c r="E1131" s="462">
        <f>E1132</f>
        <v>60500</v>
      </c>
      <c r="F1131" s="462">
        <f t="shared" ref="F1131:G1131" si="932">F1132</f>
        <v>66550</v>
      </c>
      <c r="G1131" s="462">
        <f t="shared" si="932"/>
        <v>73205</v>
      </c>
      <c r="H1131" s="132"/>
    </row>
    <row r="1132" spans="1:8" s="292" customFormat="1" outlineLevel="2">
      <c r="A1132" s="479"/>
      <c r="B1132" s="479"/>
      <c r="C1132" s="437">
        <v>3111401</v>
      </c>
      <c r="D1132" s="326" t="s">
        <v>297</v>
      </c>
      <c r="E1132" s="468">
        <f>60500+1000000-1000000</f>
        <v>60500</v>
      </c>
      <c r="F1132" s="440">
        <f t="shared" si="931"/>
        <v>66550</v>
      </c>
      <c r="G1132" s="440">
        <f t="shared" si="931"/>
        <v>73205</v>
      </c>
      <c r="H1132" s="132"/>
    </row>
    <row r="1133" spans="1:8" s="292" customFormat="1" outlineLevel="1">
      <c r="A1133" s="443"/>
      <c r="B1133" s="443"/>
      <c r="C1133" s="381"/>
      <c r="D1133" s="336" t="s">
        <v>183</v>
      </c>
      <c r="E1133" s="466">
        <f>E1131+E1127+E1125+E1122+E1119+E1116+E1113+E1109+E1107+E1103+E1095+E1091+E1086+E1083+E1079+E1077</f>
        <v>40511166.600000001</v>
      </c>
      <c r="F1133" s="466">
        <f>F1131+F1127+F1125+F1122+F1119+F1116+F1113+F1109+F1107+F1103+F1095+F1091+F1086+F1083+F1079+F1077</f>
        <v>44562283.260000005</v>
      </c>
      <c r="G1133" s="466">
        <f t="shared" ref="G1133" si="933">G1131+G1127+G1125+G1122+G1119+G1116+G1113+G1109+G1107+G1103+G1095+G1091+G1086+G1083+G1079+G1077</f>
        <v>49018511.58600001</v>
      </c>
      <c r="H1133" s="132"/>
    </row>
    <row r="1134" spans="1:8" s="292" customFormat="1" outlineLevel="1">
      <c r="A1134" s="437"/>
      <c r="B1134" s="437"/>
      <c r="C1134" s="480"/>
      <c r="D1134" s="330"/>
      <c r="E1134" s="466"/>
      <c r="F1134" s="440">
        <f t="shared" si="931"/>
        <v>0</v>
      </c>
      <c r="G1134" s="440">
        <f t="shared" si="931"/>
        <v>0</v>
      </c>
      <c r="H1134" s="132"/>
    </row>
    <row r="1135" spans="1:8" s="292" customFormat="1" outlineLevel="1">
      <c r="A1135" s="479"/>
      <c r="B1135" s="443"/>
      <c r="C1135" s="481" t="s">
        <v>298</v>
      </c>
      <c r="D1135" s="482"/>
      <c r="E1135" s="460"/>
      <c r="F1135" s="440">
        <f t="shared" si="931"/>
        <v>0</v>
      </c>
      <c r="G1135" s="440">
        <f t="shared" si="931"/>
        <v>0</v>
      </c>
      <c r="H1135" s="132"/>
    </row>
    <row r="1136" spans="1:8" s="292" customFormat="1" outlineLevel="3">
      <c r="A1136" s="479"/>
      <c r="B1136" s="443"/>
      <c r="C1136" s="386">
        <v>2110100</v>
      </c>
      <c r="D1136" s="330" t="s">
        <v>13</v>
      </c>
      <c r="E1136" s="462">
        <f>E1137</f>
        <v>5999556.2000000002</v>
      </c>
      <c r="F1136" s="462">
        <f t="shared" ref="F1136:G1136" si="934">F1137</f>
        <v>6599511.8200000003</v>
      </c>
      <c r="G1136" s="462">
        <f t="shared" si="934"/>
        <v>7259463.0020000013</v>
      </c>
      <c r="H1136" s="132"/>
    </row>
    <row r="1137" spans="1:8" s="292" customFormat="1" outlineLevel="3">
      <c r="A1137" s="479"/>
      <c r="B1137" s="443"/>
      <c r="C1137" s="389">
        <v>2110101</v>
      </c>
      <c r="D1137" s="326" t="s">
        <v>14</v>
      </c>
      <c r="E1137" s="468">
        <v>5999556.2000000002</v>
      </c>
      <c r="F1137" s="440">
        <f t="shared" si="931"/>
        <v>6599511.8200000003</v>
      </c>
      <c r="G1137" s="440">
        <f t="shared" si="931"/>
        <v>7259463.0020000013</v>
      </c>
      <c r="H1137" s="132"/>
    </row>
    <row r="1138" spans="1:8" s="292" customFormat="1" outlineLevel="3">
      <c r="A1138" s="479"/>
      <c r="B1138" s="443"/>
      <c r="C1138" s="386" t="s">
        <v>207</v>
      </c>
      <c r="D1138" s="330" t="s">
        <v>16</v>
      </c>
      <c r="E1138" s="462">
        <f>E1139+E1140+E1141</f>
        <v>114302.1</v>
      </c>
      <c r="F1138" s="462">
        <f t="shared" ref="F1138:G1138" si="935">F1139+F1140+F1141</f>
        <v>125732.31</v>
      </c>
      <c r="G1138" s="462">
        <f t="shared" si="935"/>
        <v>138305.54100000003</v>
      </c>
      <c r="H1138" s="132"/>
    </row>
    <row r="1139" spans="1:8" s="292" customFormat="1" outlineLevel="3">
      <c r="A1139" s="479"/>
      <c r="B1139" s="443"/>
      <c r="C1139" s="389">
        <v>2210101</v>
      </c>
      <c r="D1139" s="326" t="s">
        <v>17</v>
      </c>
      <c r="E1139" s="468">
        <v>28072</v>
      </c>
      <c r="F1139" s="440">
        <f t="shared" si="931"/>
        <v>30879.200000000001</v>
      </c>
      <c r="G1139" s="440">
        <f t="shared" si="931"/>
        <v>33967.120000000003</v>
      </c>
      <c r="H1139" s="132"/>
    </row>
    <row r="1140" spans="1:8" s="292" customFormat="1" outlineLevel="3">
      <c r="A1140" s="479"/>
      <c r="B1140" s="443"/>
      <c r="C1140" s="389">
        <v>2210102</v>
      </c>
      <c r="D1140" s="326" t="s">
        <v>18</v>
      </c>
      <c r="E1140" s="468">
        <v>24563</v>
      </c>
      <c r="F1140" s="440">
        <f t="shared" si="931"/>
        <v>27019.300000000003</v>
      </c>
      <c r="G1140" s="440">
        <f t="shared" si="931"/>
        <v>29721.230000000007</v>
      </c>
      <c r="H1140" s="132"/>
    </row>
    <row r="1141" spans="1:8" s="292" customFormat="1" outlineLevel="3">
      <c r="A1141" s="479"/>
      <c r="B1141" s="443"/>
      <c r="C1141" s="389">
        <v>2210103</v>
      </c>
      <c r="D1141" s="326" t="s">
        <v>22</v>
      </c>
      <c r="E1141" s="468">
        <v>61667.1</v>
      </c>
      <c r="F1141" s="440">
        <f t="shared" si="931"/>
        <v>67833.81</v>
      </c>
      <c r="G1141" s="440">
        <f t="shared" si="931"/>
        <v>74617.191000000006</v>
      </c>
      <c r="H1141" s="132"/>
    </row>
    <row r="1142" spans="1:8" s="292" customFormat="1" outlineLevel="3">
      <c r="A1142" s="479"/>
      <c r="B1142" s="443"/>
      <c r="C1142" s="386">
        <v>2210200</v>
      </c>
      <c r="D1142" s="333" t="s">
        <v>19</v>
      </c>
      <c r="E1142" s="462">
        <f>E1143+E1144</f>
        <v>115750</v>
      </c>
      <c r="F1142" s="462">
        <f t="shared" ref="F1142:G1142" si="936">F1143+F1144</f>
        <v>127325.00000000001</v>
      </c>
      <c r="G1142" s="462">
        <f t="shared" si="936"/>
        <v>140057.50000000003</v>
      </c>
      <c r="H1142" s="132"/>
    </row>
    <row r="1143" spans="1:8" s="292" customFormat="1" outlineLevel="3">
      <c r="A1143" s="479"/>
      <c r="B1143" s="443"/>
      <c r="C1143" s="389">
        <v>2210201</v>
      </c>
      <c r="D1143" s="332" t="s">
        <v>20</v>
      </c>
      <c r="E1143" s="468">
        <f>173250-68500</f>
        <v>104750</v>
      </c>
      <c r="F1143" s="440">
        <f t="shared" si="931"/>
        <v>115225.00000000001</v>
      </c>
      <c r="G1143" s="440">
        <f t="shared" si="931"/>
        <v>126747.50000000003</v>
      </c>
      <c r="H1143" s="132"/>
    </row>
    <row r="1144" spans="1:8" s="292" customFormat="1" outlineLevel="3">
      <c r="A1144" s="479"/>
      <c r="B1144" s="443"/>
      <c r="C1144" s="389">
        <v>2210202</v>
      </c>
      <c r="D1144" s="332" t="s">
        <v>21</v>
      </c>
      <c r="E1144" s="468">
        <v>11000</v>
      </c>
      <c r="F1144" s="440">
        <f t="shared" si="931"/>
        <v>12100.000000000002</v>
      </c>
      <c r="G1144" s="440">
        <f t="shared" si="931"/>
        <v>13310.000000000004</v>
      </c>
      <c r="H1144" s="132"/>
    </row>
    <row r="1145" spans="1:8" s="292" customFormat="1" ht="30" outlineLevel="3">
      <c r="A1145" s="479"/>
      <c r="B1145" s="443"/>
      <c r="C1145" s="386">
        <v>2210300</v>
      </c>
      <c r="D1145" s="333" t="s">
        <v>23</v>
      </c>
      <c r="E1145" s="462">
        <f>E1146+E1147+E1148+E1149</f>
        <v>905000</v>
      </c>
      <c r="F1145" s="462">
        <f t="shared" ref="F1145:G1145" si="937">F1146+F1147+F1148+F1149</f>
        <v>995500</v>
      </c>
      <c r="G1145" s="462">
        <f t="shared" si="937"/>
        <v>1095050.0000000002</v>
      </c>
      <c r="H1145" s="132"/>
    </row>
    <row r="1146" spans="1:8" s="292" customFormat="1" outlineLevel="3">
      <c r="A1146" s="479"/>
      <c r="B1146" s="443"/>
      <c r="C1146" s="389">
        <v>2210301</v>
      </c>
      <c r="D1146" s="332" t="s">
        <v>24</v>
      </c>
      <c r="E1146" s="468">
        <v>165000</v>
      </c>
      <c r="F1146" s="440">
        <f t="shared" si="931"/>
        <v>181500.00000000003</v>
      </c>
      <c r="G1146" s="440">
        <f t="shared" si="931"/>
        <v>199650.00000000006</v>
      </c>
      <c r="H1146" s="132"/>
    </row>
    <row r="1147" spans="1:8" s="292" customFormat="1" outlineLevel="3">
      <c r="A1147" s="479"/>
      <c r="B1147" s="443"/>
      <c r="C1147" s="389">
        <v>2210302</v>
      </c>
      <c r="D1147" s="332" t="s">
        <v>25</v>
      </c>
      <c r="E1147" s="468">
        <v>275000</v>
      </c>
      <c r="F1147" s="440">
        <f t="shared" si="931"/>
        <v>302500</v>
      </c>
      <c r="G1147" s="440">
        <f t="shared" si="931"/>
        <v>332750</v>
      </c>
      <c r="H1147" s="132"/>
    </row>
    <row r="1148" spans="1:8" s="292" customFormat="1" outlineLevel="3">
      <c r="A1148" s="479"/>
      <c r="B1148" s="443"/>
      <c r="C1148" s="389">
        <v>2210303</v>
      </c>
      <c r="D1148" s="332" t="s">
        <v>26</v>
      </c>
      <c r="E1148" s="468">
        <v>385000</v>
      </c>
      <c r="F1148" s="440">
        <f t="shared" si="931"/>
        <v>423500.00000000006</v>
      </c>
      <c r="G1148" s="440">
        <f t="shared" si="931"/>
        <v>465850.00000000012</v>
      </c>
      <c r="H1148" s="132"/>
    </row>
    <row r="1149" spans="1:8" s="292" customFormat="1" outlineLevel="3">
      <c r="A1149" s="479"/>
      <c r="B1149" s="443"/>
      <c r="C1149" s="437">
        <v>2210304</v>
      </c>
      <c r="D1149" s="326" t="s">
        <v>27</v>
      </c>
      <c r="E1149" s="468">
        <f>181500-30000-71500</f>
        <v>80000</v>
      </c>
      <c r="F1149" s="440">
        <f t="shared" si="931"/>
        <v>88000</v>
      </c>
      <c r="G1149" s="440">
        <f t="shared" si="931"/>
        <v>96800.000000000015</v>
      </c>
      <c r="H1149" s="132"/>
    </row>
    <row r="1150" spans="1:8" s="292" customFormat="1" outlineLevel="3">
      <c r="A1150" s="479"/>
      <c r="B1150" s="443"/>
      <c r="C1150" s="386">
        <v>2210500</v>
      </c>
      <c r="D1150" s="333" t="s">
        <v>30</v>
      </c>
      <c r="E1150" s="462">
        <f>E1151+E1152+E1153</f>
        <v>316500</v>
      </c>
      <c r="F1150" s="462">
        <f t="shared" ref="F1150:G1150" si="938">F1151+F1152+F1153</f>
        <v>348150.00000000006</v>
      </c>
      <c r="G1150" s="462">
        <f t="shared" si="938"/>
        <v>382965.00000000012</v>
      </c>
      <c r="H1150" s="132"/>
    </row>
    <row r="1151" spans="1:8" s="292" customFormat="1" outlineLevel="3">
      <c r="A1151" s="479"/>
      <c r="B1151" s="443"/>
      <c r="C1151" s="389">
        <v>2210502</v>
      </c>
      <c r="D1151" s="332" t="s">
        <v>285</v>
      </c>
      <c r="E1151" s="468">
        <f>110000-25000</f>
        <v>85000</v>
      </c>
      <c r="F1151" s="440">
        <f t="shared" ref="F1151:G1169" si="939">E1151*1.1</f>
        <v>93500.000000000015</v>
      </c>
      <c r="G1151" s="440">
        <f t="shared" si="939"/>
        <v>102850.00000000003</v>
      </c>
      <c r="H1151" s="132"/>
    </row>
    <row r="1152" spans="1:8" s="292" customFormat="1" outlineLevel="3">
      <c r="A1152" s="479"/>
      <c r="B1152" s="443"/>
      <c r="C1152" s="389">
        <v>2210503</v>
      </c>
      <c r="D1152" s="332" t="s">
        <v>31</v>
      </c>
      <c r="E1152" s="468">
        <f>16500+30000</f>
        <v>46500</v>
      </c>
      <c r="F1152" s="440">
        <f t="shared" si="939"/>
        <v>51150.000000000007</v>
      </c>
      <c r="G1152" s="440">
        <f t="shared" si="939"/>
        <v>56265.000000000015</v>
      </c>
      <c r="H1152" s="132"/>
    </row>
    <row r="1153" spans="1:8" s="292" customFormat="1" outlineLevel="3">
      <c r="A1153" s="479"/>
      <c r="B1153" s="443"/>
      <c r="C1153" s="437">
        <v>2210504</v>
      </c>
      <c r="D1153" s="326" t="s">
        <v>192</v>
      </c>
      <c r="E1153" s="468">
        <f>220000-35000</f>
        <v>185000</v>
      </c>
      <c r="F1153" s="440">
        <f t="shared" si="939"/>
        <v>203500.00000000003</v>
      </c>
      <c r="G1153" s="440">
        <f t="shared" si="939"/>
        <v>223850.00000000006</v>
      </c>
      <c r="H1153" s="132"/>
    </row>
    <row r="1154" spans="1:8" s="292" customFormat="1" outlineLevel="3">
      <c r="A1154" s="479"/>
      <c r="B1154" s="443"/>
      <c r="C1154" s="386">
        <v>2210700</v>
      </c>
      <c r="D1154" s="333" t="s">
        <v>34</v>
      </c>
      <c r="E1154" s="462">
        <f>E1155+E1156+E1157+E1158+E1159+E1160+E1161</f>
        <v>1058078</v>
      </c>
      <c r="F1154" s="462">
        <f t="shared" ref="F1154:G1154" si="940">F1155+F1156+F1157+F1158+F1159+F1160+F1161</f>
        <v>1163885.8</v>
      </c>
      <c r="G1154" s="462">
        <f t="shared" si="940"/>
        <v>1280274.3800000001</v>
      </c>
      <c r="H1154" s="132"/>
    </row>
    <row r="1155" spans="1:8" s="292" customFormat="1" outlineLevel="3">
      <c r="A1155" s="479"/>
      <c r="B1155" s="443"/>
      <c r="C1155" s="389">
        <v>2210701</v>
      </c>
      <c r="D1155" s="332" t="s">
        <v>35</v>
      </c>
      <c r="E1155" s="468">
        <f>220000-75000</f>
        <v>145000</v>
      </c>
      <c r="F1155" s="440">
        <f t="shared" si="939"/>
        <v>159500</v>
      </c>
      <c r="G1155" s="440">
        <f t="shared" si="939"/>
        <v>175450</v>
      </c>
      <c r="H1155" s="132"/>
    </row>
    <row r="1156" spans="1:8" s="292" customFormat="1" outlineLevel="3">
      <c r="A1156" s="479"/>
      <c r="B1156" s="443"/>
      <c r="C1156" s="389">
        <v>2210702</v>
      </c>
      <c r="D1156" s="332" t="s">
        <v>83</v>
      </c>
      <c r="E1156" s="468">
        <f>220000-25000</f>
        <v>195000</v>
      </c>
      <c r="F1156" s="440">
        <f t="shared" si="939"/>
        <v>214500.00000000003</v>
      </c>
      <c r="G1156" s="440">
        <f t="shared" si="939"/>
        <v>235950.00000000006</v>
      </c>
      <c r="H1156" s="132"/>
    </row>
    <row r="1157" spans="1:8" s="292" customFormat="1" outlineLevel="3">
      <c r="A1157" s="479"/>
      <c r="B1157" s="443"/>
      <c r="C1157" s="389">
        <v>2210703</v>
      </c>
      <c r="D1157" s="332" t="s">
        <v>166</v>
      </c>
      <c r="E1157" s="468">
        <f>49126-20000</f>
        <v>29126</v>
      </c>
      <c r="F1157" s="440">
        <f t="shared" si="939"/>
        <v>32038.600000000002</v>
      </c>
      <c r="G1157" s="440">
        <f t="shared" si="939"/>
        <v>35242.460000000006</v>
      </c>
      <c r="H1157" s="132"/>
    </row>
    <row r="1158" spans="1:8" s="292" customFormat="1" outlineLevel="3">
      <c r="A1158" s="479"/>
      <c r="B1158" s="443"/>
      <c r="C1158" s="389">
        <v>2210704</v>
      </c>
      <c r="D1158" s="332" t="s">
        <v>37</v>
      </c>
      <c r="E1158" s="468">
        <v>140360</v>
      </c>
      <c r="F1158" s="440">
        <f t="shared" si="939"/>
        <v>154396</v>
      </c>
      <c r="G1158" s="440">
        <f t="shared" si="939"/>
        <v>169835.6</v>
      </c>
      <c r="H1158" s="132"/>
    </row>
    <row r="1159" spans="1:8" s="292" customFormat="1" outlineLevel="3">
      <c r="A1159" s="479"/>
      <c r="B1159" s="443"/>
      <c r="C1159" s="389">
        <v>2210710</v>
      </c>
      <c r="D1159" s="332" t="s">
        <v>38</v>
      </c>
      <c r="E1159" s="468">
        <f>175450-55000</f>
        <v>120450</v>
      </c>
      <c r="F1159" s="440">
        <f t="shared" si="939"/>
        <v>132495</v>
      </c>
      <c r="G1159" s="440">
        <f t="shared" si="939"/>
        <v>145744.5</v>
      </c>
      <c r="H1159" s="132"/>
    </row>
    <row r="1160" spans="1:8" s="292" customFormat="1" outlineLevel="3">
      <c r="A1160" s="479"/>
      <c r="B1160" s="443"/>
      <c r="C1160" s="389">
        <v>2210715</v>
      </c>
      <c r="D1160" s="332" t="s">
        <v>39</v>
      </c>
      <c r="E1160" s="468">
        <f>165000+33142</f>
        <v>198142</v>
      </c>
      <c r="F1160" s="440">
        <f t="shared" si="939"/>
        <v>217956.2</v>
      </c>
      <c r="G1160" s="440">
        <f t="shared" si="939"/>
        <v>239751.82000000004</v>
      </c>
      <c r="H1160" s="132"/>
    </row>
    <row r="1161" spans="1:8" s="292" customFormat="1" ht="30" outlineLevel="3">
      <c r="A1161" s="479"/>
      <c r="B1161" s="443"/>
      <c r="C1161" s="389" t="s">
        <v>299</v>
      </c>
      <c r="D1161" s="332" t="s">
        <v>300</v>
      </c>
      <c r="E1161" s="468">
        <f>330000-100000</f>
        <v>230000</v>
      </c>
      <c r="F1161" s="440">
        <f t="shared" si="939"/>
        <v>253000.00000000003</v>
      </c>
      <c r="G1161" s="440">
        <f t="shared" si="939"/>
        <v>278300.00000000006</v>
      </c>
      <c r="H1161" s="132"/>
    </row>
    <row r="1162" spans="1:8" s="292" customFormat="1" outlineLevel="3">
      <c r="A1162" s="479"/>
      <c r="B1162" s="443"/>
      <c r="C1162" s="386">
        <v>2210800</v>
      </c>
      <c r="D1162" s="333" t="s">
        <v>41</v>
      </c>
      <c r="E1162" s="462">
        <f>E1163+E1164+E1165</f>
        <v>865000</v>
      </c>
      <c r="F1162" s="462">
        <f t="shared" ref="F1162:G1162" si="941">F1163+F1164+F1165</f>
        <v>951500.00000000012</v>
      </c>
      <c r="G1162" s="462">
        <f t="shared" si="941"/>
        <v>1046650.0000000002</v>
      </c>
      <c r="H1162" s="132"/>
    </row>
    <row r="1163" spans="1:8" s="292" customFormat="1" ht="30" outlineLevel="3">
      <c r="A1163" s="479"/>
      <c r="B1163" s="443"/>
      <c r="C1163" s="389">
        <v>2210801</v>
      </c>
      <c r="D1163" s="332" t="s">
        <v>85</v>
      </c>
      <c r="E1163" s="468">
        <v>385000</v>
      </c>
      <c r="F1163" s="440">
        <f t="shared" si="939"/>
        <v>423500.00000000006</v>
      </c>
      <c r="G1163" s="440">
        <f t="shared" si="939"/>
        <v>465850.00000000012</v>
      </c>
      <c r="H1163" s="132"/>
    </row>
    <row r="1164" spans="1:8" s="292" customFormat="1" ht="45" outlineLevel="3">
      <c r="A1164" s="479"/>
      <c r="B1164" s="443"/>
      <c r="C1164" s="389">
        <v>2210802</v>
      </c>
      <c r="D1164" s="332" t="s">
        <v>301</v>
      </c>
      <c r="E1164" s="468">
        <f>357500-150000</f>
        <v>207500</v>
      </c>
      <c r="F1164" s="440">
        <f t="shared" si="939"/>
        <v>228250.00000000003</v>
      </c>
      <c r="G1164" s="440">
        <f t="shared" si="939"/>
        <v>251075.00000000006</v>
      </c>
      <c r="H1164" s="132"/>
    </row>
    <row r="1165" spans="1:8" s="292" customFormat="1" outlineLevel="3">
      <c r="A1165" s="479"/>
      <c r="B1165" s="443"/>
      <c r="C1165" s="389" t="s">
        <v>217</v>
      </c>
      <c r="D1165" s="332" t="s">
        <v>218</v>
      </c>
      <c r="E1165" s="468">
        <f>522500-250000</f>
        <v>272500</v>
      </c>
      <c r="F1165" s="440">
        <f t="shared" si="939"/>
        <v>299750</v>
      </c>
      <c r="G1165" s="440">
        <f t="shared" si="939"/>
        <v>329725</v>
      </c>
      <c r="H1165" s="132"/>
    </row>
    <row r="1166" spans="1:8" s="292" customFormat="1" outlineLevel="3">
      <c r="A1166" s="479"/>
      <c r="B1166" s="443"/>
      <c r="C1166" s="386">
        <v>2211000</v>
      </c>
      <c r="D1166" s="333" t="s">
        <v>173</v>
      </c>
      <c r="E1166" s="462">
        <f>E1167</f>
        <v>42108</v>
      </c>
      <c r="F1166" s="462">
        <f t="shared" ref="F1166:G1166" si="942">F1167</f>
        <v>46318.8</v>
      </c>
      <c r="G1166" s="462">
        <f t="shared" si="942"/>
        <v>50950.680000000008</v>
      </c>
      <c r="H1166" s="132"/>
    </row>
    <row r="1167" spans="1:8" s="292" customFormat="1" outlineLevel="3">
      <c r="A1167" s="479"/>
      <c r="B1167" s="443"/>
      <c r="C1167" s="389">
        <v>2211011</v>
      </c>
      <c r="D1167" s="332" t="s">
        <v>302</v>
      </c>
      <c r="E1167" s="468">
        <v>42108</v>
      </c>
      <c r="F1167" s="440">
        <f t="shared" si="939"/>
        <v>46318.8</v>
      </c>
      <c r="G1167" s="440">
        <f t="shared" si="939"/>
        <v>50950.680000000008</v>
      </c>
      <c r="H1167" s="132"/>
    </row>
    <row r="1168" spans="1:8" s="292" customFormat="1" outlineLevel="3">
      <c r="A1168" s="479"/>
      <c r="B1168" s="443"/>
      <c r="C1168" s="386">
        <v>2211100</v>
      </c>
      <c r="D1168" s="333" t="s">
        <v>49</v>
      </c>
      <c r="E1168" s="462">
        <f>E1169+E1170+E1171</f>
        <v>329180</v>
      </c>
      <c r="F1168" s="462">
        <f t="shared" ref="F1168:G1168" si="943">F1169+F1170+F1171</f>
        <v>362098</v>
      </c>
      <c r="G1168" s="462">
        <f t="shared" si="943"/>
        <v>398307.8</v>
      </c>
      <c r="H1168" s="132"/>
    </row>
    <row r="1169" spans="1:8" s="292" customFormat="1" ht="30" outlineLevel="3">
      <c r="A1169" s="479"/>
      <c r="B1169" s="443"/>
      <c r="C1169" s="389">
        <v>2211101</v>
      </c>
      <c r="D1169" s="332" t="s">
        <v>87</v>
      </c>
      <c r="E1169" s="468">
        <f>110000-55000+84000</f>
        <v>139000</v>
      </c>
      <c r="F1169" s="440">
        <f t="shared" si="939"/>
        <v>152900</v>
      </c>
      <c r="G1169" s="440">
        <f t="shared" si="939"/>
        <v>168190</v>
      </c>
      <c r="H1169" s="132"/>
    </row>
    <row r="1170" spans="1:8" s="292" customFormat="1" outlineLevel="3">
      <c r="A1170" s="479"/>
      <c r="B1170" s="443"/>
      <c r="C1170" s="389">
        <v>2211102</v>
      </c>
      <c r="D1170" s="332" t="s">
        <v>51</v>
      </c>
      <c r="E1170" s="468">
        <f>165000-45000</f>
        <v>120000</v>
      </c>
      <c r="F1170" s="440">
        <f t="shared" ref="F1170:G1185" si="944">E1170*1.1</f>
        <v>132000</v>
      </c>
      <c r="G1170" s="440">
        <f t="shared" si="944"/>
        <v>145200</v>
      </c>
      <c r="H1170" s="132"/>
    </row>
    <row r="1171" spans="1:8" s="292" customFormat="1" outlineLevel="3">
      <c r="A1171" s="479"/>
      <c r="B1171" s="443"/>
      <c r="C1171" s="389">
        <v>2211103</v>
      </c>
      <c r="D1171" s="332" t="s">
        <v>52</v>
      </c>
      <c r="E1171" s="468">
        <v>70180</v>
      </c>
      <c r="F1171" s="440">
        <f t="shared" si="944"/>
        <v>77198</v>
      </c>
      <c r="G1171" s="440">
        <f t="shared" si="944"/>
        <v>84917.8</v>
      </c>
      <c r="H1171" s="132"/>
    </row>
    <row r="1172" spans="1:8" s="292" customFormat="1" outlineLevel="3">
      <c r="A1172" s="479"/>
      <c r="B1172" s="443"/>
      <c r="C1172" s="386">
        <v>2211200</v>
      </c>
      <c r="D1172" s="333" t="s">
        <v>53</v>
      </c>
      <c r="E1172" s="462">
        <f>E1173+E1174</f>
        <v>1020000</v>
      </c>
      <c r="F1172" s="462">
        <f t="shared" ref="F1172:G1172" si="945">F1173+F1174</f>
        <v>1122000</v>
      </c>
      <c r="G1172" s="462">
        <f t="shared" si="945"/>
        <v>1234200</v>
      </c>
      <c r="H1172" s="132"/>
    </row>
    <row r="1173" spans="1:8" s="292" customFormat="1" outlineLevel="3">
      <c r="A1173" s="479"/>
      <c r="B1173" s="443"/>
      <c r="C1173" s="389">
        <v>2211201</v>
      </c>
      <c r="D1173" s="332" t="s">
        <v>91</v>
      </c>
      <c r="E1173" s="468">
        <f>737000-300000</f>
        <v>437000</v>
      </c>
      <c r="F1173" s="440">
        <f t="shared" si="944"/>
        <v>480700.00000000006</v>
      </c>
      <c r="G1173" s="440">
        <f t="shared" si="944"/>
        <v>528770.00000000012</v>
      </c>
      <c r="H1173" s="132"/>
    </row>
    <row r="1174" spans="1:8" s="292" customFormat="1" outlineLevel="3">
      <c r="A1174" s="479"/>
      <c r="B1174" s="443"/>
      <c r="C1174" s="389" t="s">
        <v>222</v>
      </c>
      <c r="D1174" s="332" t="s">
        <v>223</v>
      </c>
      <c r="E1174" s="468">
        <v>583000</v>
      </c>
      <c r="F1174" s="440">
        <f t="shared" si="944"/>
        <v>641300</v>
      </c>
      <c r="G1174" s="440">
        <f t="shared" si="944"/>
        <v>705430</v>
      </c>
      <c r="H1174" s="132"/>
    </row>
    <row r="1175" spans="1:8" s="292" customFormat="1" outlineLevel="3">
      <c r="A1175" s="479"/>
      <c r="B1175" s="443"/>
      <c r="C1175" s="386">
        <v>2211300</v>
      </c>
      <c r="D1175" s="333" t="s">
        <v>55</v>
      </c>
      <c r="E1175" s="462">
        <f>E1176</f>
        <v>165000</v>
      </c>
      <c r="F1175" s="462">
        <f t="shared" ref="F1175:G1175" si="946">F1176</f>
        <v>181500.00000000003</v>
      </c>
      <c r="G1175" s="462">
        <f t="shared" si="946"/>
        <v>199650.00000000006</v>
      </c>
      <c r="H1175" s="132"/>
    </row>
    <row r="1176" spans="1:8" s="292" customFormat="1" ht="30" outlineLevel="3">
      <c r="A1176" s="479"/>
      <c r="B1176" s="443"/>
      <c r="C1176" s="389">
        <v>2211310</v>
      </c>
      <c r="D1176" s="332" t="s">
        <v>303</v>
      </c>
      <c r="E1176" s="468">
        <f>165000+300000-300000</f>
        <v>165000</v>
      </c>
      <c r="F1176" s="440">
        <f t="shared" si="944"/>
        <v>181500.00000000003</v>
      </c>
      <c r="G1176" s="440">
        <f t="shared" si="944"/>
        <v>199650.00000000006</v>
      </c>
      <c r="H1176" s="132"/>
    </row>
    <row r="1177" spans="1:8" s="292" customFormat="1" ht="30" outlineLevel="3">
      <c r="A1177" s="479"/>
      <c r="B1177" s="443"/>
      <c r="C1177" s="386" t="s">
        <v>293</v>
      </c>
      <c r="D1177" s="333" t="s">
        <v>61</v>
      </c>
      <c r="E1177" s="462">
        <f>E1178+E1179</f>
        <v>255270</v>
      </c>
      <c r="F1177" s="462">
        <f t="shared" ref="F1177:G1177" si="947">F1178+F1179</f>
        <v>280797.00000000006</v>
      </c>
      <c r="G1177" s="462">
        <f t="shared" si="947"/>
        <v>308876.70000000007</v>
      </c>
      <c r="H1177" s="132"/>
    </row>
    <row r="1178" spans="1:8" s="292" customFormat="1" outlineLevel="3">
      <c r="A1178" s="479"/>
      <c r="B1178" s="443"/>
      <c r="C1178" s="437">
        <v>2220101</v>
      </c>
      <c r="D1178" s="326" t="s">
        <v>92</v>
      </c>
      <c r="E1178" s="468">
        <f>440000-150000-90000</f>
        <v>200000</v>
      </c>
      <c r="F1178" s="440">
        <f t="shared" si="944"/>
        <v>220000.00000000003</v>
      </c>
      <c r="G1178" s="440">
        <f t="shared" si="944"/>
        <v>242000.00000000006</v>
      </c>
      <c r="H1178" s="132"/>
    </row>
    <row r="1179" spans="1:8" s="292" customFormat="1" outlineLevel="3">
      <c r="A1179" s="479"/>
      <c r="B1179" s="443"/>
      <c r="C1179" s="437">
        <v>2220105</v>
      </c>
      <c r="D1179" s="326" t="s">
        <v>64</v>
      </c>
      <c r="E1179" s="468">
        <f>105270-50000</f>
        <v>55270</v>
      </c>
      <c r="F1179" s="440">
        <f t="shared" si="944"/>
        <v>60797.000000000007</v>
      </c>
      <c r="G1179" s="440">
        <f t="shared" si="944"/>
        <v>66876.700000000012</v>
      </c>
      <c r="H1179" s="132"/>
    </row>
    <row r="1180" spans="1:8" s="292" customFormat="1" outlineLevel="3">
      <c r="A1180" s="479"/>
      <c r="B1180" s="443"/>
      <c r="C1180" s="386">
        <v>2220200</v>
      </c>
      <c r="D1180" s="333" t="s">
        <v>114</v>
      </c>
      <c r="E1180" s="462">
        <f>E1181+E1182+E1183</f>
        <v>112725</v>
      </c>
      <c r="F1180" s="462">
        <f t="shared" ref="F1180:G1180" si="948">F1181+F1182+F1183</f>
        <v>123997.5</v>
      </c>
      <c r="G1180" s="462">
        <f t="shared" si="948"/>
        <v>136397.25</v>
      </c>
      <c r="H1180" s="132"/>
    </row>
    <row r="1181" spans="1:8" s="292" customFormat="1" outlineLevel="3">
      <c r="A1181" s="479"/>
      <c r="B1181" s="443"/>
      <c r="C1181" s="389">
        <v>2220201</v>
      </c>
      <c r="D1181" s="332" t="s">
        <v>304</v>
      </c>
      <c r="E1181" s="468">
        <f>110000-50000</f>
        <v>60000</v>
      </c>
      <c r="F1181" s="440">
        <f t="shared" si="944"/>
        <v>66000</v>
      </c>
      <c r="G1181" s="440">
        <f t="shared" si="944"/>
        <v>72600</v>
      </c>
      <c r="H1181" s="132"/>
    </row>
    <row r="1182" spans="1:8" s="292" customFormat="1" outlineLevel="3">
      <c r="A1182" s="479"/>
      <c r="B1182" s="443"/>
      <c r="C1182" s="389">
        <v>2220202</v>
      </c>
      <c r="D1182" s="332" t="s">
        <v>63</v>
      </c>
      <c r="E1182" s="468">
        <f>49126-20000</f>
        <v>29126</v>
      </c>
      <c r="F1182" s="440">
        <f t="shared" si="944"/>
        <v>32038.600000000002</v>
      </c>
      <c r="G1182" s="440">
        <f t="shared" si="944"/>
        <v>35242.460000000006</v>
      </c>
      <c r="H1182" s="132"/>
    </row>
    <row r="1183" spans="1:8" s="292" customFormat="1" outlineLevel="3">
      <c r="A1183" s="479"/>
      <c r="B1183" s="443"/>
      <c r="C1183" s="389">
        <v>2220205</v>
      </c>
      <c r="D1183" s="332" t="s">
        <v>180</v>
      </c>
      <c r="E1183" s="468">
        <f>38599-15000</f>
        <v>23599</v>
      </c>
      <c r="F1183" s="440">
        <f t="shared" si="944"/>
        <v>25958.9</v>
      </c>
      <c r="G1183" s="440">
        <f t="shared" si="944"/>
        <v>28554.790000000005</v>
      </c>
      <c r="H1183" s="132"/>
    </row>
    <row r="1184" spans="1:8" s="292" customFormat="1" outlineLevel="3">
      <c r="A1184" s="479"/>
      <c r="B1184" s="443"/>
      <c r="C1184" s="386">
        <v>3110300</v>
      </c>
      <c r="D1184" s="333" t="s">
        <v>294</v>
      </c>
      <c r="E1184" s="462">
        <f>E1185</f>
        <v>45617</v>
      </c>
      <c r="F1184" s="462">
        <f t="shared" ref="F1184:G1184" si="949">F1185</f>
        <v>50178.700000000004</v>
      </c>
      <c r="G1184" s="462">
        <f t="shared" si="949"/>
        <v>55196.570000000007</v>
      </c>
      <c r="H1184" s="132"/>
    </row>
    <row r="1185" spans="1:8" s="292" customFormat="1" outlineLevel="3">
      <c r="A1185" s="479"/>
      <c r="B1185" s="443"/>
      <c r="C1185" s="389">
        <v>3110302</v>
      </c>
      <c r="D1185" s="332" t="s">
        <v>295</v>
      </c>
      <c r="E1185" s="468">
        <v>45617</v>
      </c>
      <c r="F1185" s="440">
        <f t="shared" si="944"/>
        <v>50178.700000000004</v>
      </c>
      <c r="G1185" s="440">
        <f t="shared" si="944"/>
        <v>55196.570000000007</v>
      </c>
      <c r="H1185" s="132"/>
    </row>
    <row r="1186" spans="1:8" s="292" customFormat="1" outlineLevel="3">
      <c r="A1186" s="479"/>
      <c r="B1186" s="443"/>
      <c r="C1186" s="386">
        <v>3111000</v>
      </c>
      <c r="D1186" s="333" t="s">
        <v>65</v>
      </c>
      <c r="E1186" s="462">
        <f>E1187+E1188+E1189</f>
        <v>182611.9</v>
      </c>
      <c r="F1186" s="462">
        <f t="shared" ref="F1186:G1186" si="950">F1187+F1188+F1189</f>
        <v>200873.09000000003</v>
      </c>
      <c r="G1186" s="462">
        <f t="shared" si="950"/>
        <v>220960.39900000006</v>
      </c>
      <c r="H1186" s="132"/>
    </row>
    <row r="1187" spans="1:8" s="292" customFormat="1" outlineLevel="3">
      <c r="A1187" s="479"/>
      <c r="B1187" s="443"/>
      <c r="C1187" s="389">
        <v>3111001</v>
      </c>
      <c r="D1187" s="332" t="s">
        <v>66</v>
      </c>
      <c r="E1187" s="468">
        <v>45617</v>
      </c>
      <c r="F1187" s="440">
        <f t="shared" ref="F1187:G1196" si="951">E1187*1.1</f>
        <v>50178.700000000004</v>
      </c>
      <c r="G1187" s="440">
        <f t="shared" si="951"/>
        <v>55196.570000000007</v>
      </c>
      <c r="H1187" s="132"/>
    </row>
    <row r="1188" spans="1:8" s="292" customFormat="1" outlineLevel="3">
      <c r="A1188" s="479"/>
      <c r="B1188" s="443"/>
      <c r="C1188" s="389">
        <v>3111002</v>
      </c>
      <c r="D1188" s="332" t="s">
        <v>67</v>
      </c>
      <c r="E1188" s="468">
        <f>287760-200000</f>
        <v>87760</v>
      </c>
      <c r="F1188" s="440">
        <f t="shared" si="951"/>
        <v>96536.000000000015</v>
      </c>
      <c r="G1188" s="440">
        <f t="shared" si="951"/>
        <v>106189.60000000002</v>
      </c>
      <c r="H1188" s="132"/>
    </row>
    <row r="1189" spans="1:8" s="292" customFormat="1" outlineLevel="3">
      <c r="A1189" s="479"/>
      <c r="B1189" s="443"/>
      <c r="C1189" s="389">
        <v>3111009</v>
      </c>
      <c r="D1189" s="332" t="s">
        <v>227</v>
      </c>
      <c r="E1189" s="468">
        <v>49234.9</v>
      </c>
      <c r="F1189" s="440">
        <f t="shared" si="951"/>
        <v>54158.390000000007</v>
      </c>
      <c r="G1189" s="440">
        <f t="shared" si="951"/>
        <v>59574.229000000014</v>
      </c>
      <c r="H1189" s="132"/>
    </row>
    <row r="1190" spans="1:8" s="292" customFormat="1" outlineLevel="2">
      <c r="A1190" s="479"/>
      <c r="B1190" s="443"/>
      <c r="C1190" s="381"/>
      <c r="D1190" s="336" t="s">
        <v>183</v>
      </c>
      <c r="E1190" s="466">
        <f>E1186+E1184+E1180+E1177+E1175+E1172+E1168+E1166+E1162+E1154+E1150+E1145+E1142+E1138+E1136</f>
        <v>11526698.199999999</v>
      </c>
      <c r="F1190" s="466">
        <f t="shared" ref="F1190:G1190" si="952">F1186+F1184+F1180+F1177+F1175+F1172+F1168+F1166+F1162+F1154+F1150+F1145+F1142+F1138+F1136</f>
        <v>12679368.02</v>
      </c>
      <c r="G1190" s="466">
        <f t="shared" si="952"/>
        <v>13947304.822000001</v>
      </c>
      <c r="H1190" s="132"/>
    </row>
    <row r="1191" spans="1:8" s="292" customFormat="1" outlineLevel="2">
      <c r="A1191" s="479"/>
      <c r="B1191" s="443"/>
      <c r="C1191" s="381"/>
      <c r="D1191" s="336"/>
      <c r="E1191" s="466"/>
      <c r="F1191" s="440">
        <f t="shared" si="951"/>
        <v>0</v>
      </c>
      <c r="G1191" s="440">
        <f t="shared" si="951"/>
        <v>0</v>
      </c>
      <c r="H1191" s="132"/>
    </row>
    <row r="1192" spans="1:8" s="292" customFormat="1" outlineLevel="2">
      <c r="A1192" s="479"/>
      <c r="B1192" s="443"/>
      <c r="C1192" s="480"/>
      <c r="D1192" s="330" t="s">
        <v>184</v>
      </c>
      <c r="E1192" s="466"/>
      <c r="F1192" s="440">
        <f t="shared" si="951"/>
        <v>0</v>
      </c>
      <c r="G1192" s="440">
        <f t="shared" si="951"/>
        <v>0</v>
      </c>
      <c r="H1192" s="132"/>
    </row>
    <row r="1193" spans="1:8" s="292" customFormat="1" outlineLevel="3">
      <c r="A1193" s="479"/>
      <c r="B1193" s="443"/>
      <c r="C1193" s="443">
        <v>3110500</v>
      </c>
      <c r="D1193" s="330" t="s">
        <v>305</v>
      </c>
      <c r="E1193" s="462">
        <f>E1194+E1195+E1196</f>
        <v>16702808</v>
      </c>
      <c r="F1193" s="462">
        <f t="shared" ref="F1193:G1193" si="953">F1194+F1196+F1195</f>
        <v>18373088.800000001</v>
      </c>
      <c r="G1193" s="462">
        <f t="shared" si="953"/>
        <v>20210397.680000003</v>
      </c>
      <c r="H1193" s="132"/>
    </row>
    <row r="1194" spans="1:8" s="292" customFormat="1" ht="45" outlineLevel="3">
      <c r="A1194" s="479"/>
      <c r="B1194" s="437"/>
      <c r="C1194" s="483">
        <v>3110504</v>
      </c>
      <c r="D1194" s="482" t="s">
        <v>306</v>
      </c>
      <c r="E1194" s="468">
        <f>5600000-500000</f>
        <v>5100000</v>
      </c>
      <c r="F1194" s="440">
        <f t="shared" ref="F1194:G1194" si="954">E1194*1.1</f>
        <v>5610000</v>
      </c>
      <c r="G1194" s="440">
        <f t="shared" si="954"/>
        <v>6171000.0000000009</v>
      </c>
      <c r="H1194" s="132"/>
    </row>
    <row r="1195" spans="1:8" s="292" customFormat="1" ht="30" outlineLevel="3">
      <c r="A1195" s="479"/>
      <c r="B1195" s="443"/>
      <c r="C1195" s="483">
        <v>3110504</v>
      </c>
      <c r="D1195" s="482" t="s">
        <v>307</v>
      </c>
      <c r="E1195" s="468">
        <f>5633089-1000000</f>
        <v>4633089</v>
      </c>
      <c r="F1195" s="440">
        <f t="shared" si="951"/>
        <v>5096397.9000000004</v>
      </c>
      <c r="G1195" s="440">
        <f t="shared" si="951"/>
        <v>5606037.6900000004</v>
      </c>
      <c r="H1195" s="132"/>
    </row>
    <row r="1196" spans="1:8" s="292" customFormat="1" ht="60" outlineLevel="3">
      <c r="A1196" s="479"/>
      <c r="B1196" s="443"/>
      <c r="C1196" s="483">
        <v>3110599</v>
      </c>
      <c r="D1196" s="482" t="s">
        <v>308</v>
      </c>
      <c r="E1196" s="468">
        <f>8469719-1500000</f>
        <v>6969719</v>
      </c>
      <c r="F1196" s="440">
        <f t="shared" si="951"/>
        <v>7666690.9000000004</v>
      </c>
      <c r="G1196" s="440">
        <f t="shared" si="951"/>
        <v>8433359.9900000002</v>
      </c>
      <c r="H1196" s="132"/>
    </row>
    <row r="1197" spans="1:8" s="292" customFormat="1" outlineLevel="3">
      <c r="A1197" s="479"/>
      <c r="B1197" s="443"/>
      <c r="C1197" s="443">
        <v>3111400</v>
      </c>
      <c r="D1197" s="330" t="s">
        <v>296</v>
      </c>
      <c r="E1197" s="462">
        <f>E1198+E1199</f>
        <v>3000000</v>
      </c>
      <c r="F1197" s="462">
        <f t="shared" ref="F1197:G1197" si="955">F1198</f>
        <v>1650000.0000000002</v>
      </c>
      <c r="G1197" s="462">
        <f t="shared" si="955"/>
        <v>1815000.0000000005</v>
      </c>
      <c r="H1197" s="132"/>
    </row>
    <row r="1198" spans="1:8" s="292" customFormat="1" ht="75" outlineLevel="3">
      <c r="A1198" s="479"/>
      <c r="B1198" s="443"/>
      <c r="C1198" s="437">
        <v>3111401</v>
      </c>
      <c r="D1198" s="326" t="s">
        <v>309</v>
      </c>
      <c r="E1198" s="468">
        <v>1500000</v>
      </c>
      <c r="F1198" s="440">
        <f>E1198*1.1</f>
        <v>1650000.0000000002</v>
      </c>
      <c r="G1198" s="440">
        <f>F1198*1.1</f>
        <v>1815000.0000000005</v>
      </c>
      <c r="H1198" s="132"/>
    </row>
    <row r="1199" spans="1:8" s="292" customFormat="1" ht="30" outlineLevel="3">
      <c r="A1199" s="479"/>
      <c r="B1199" s="443"/>
      <c r="C1199" s="483">
        <v>3111404</v>
      </c>
      <c r="D1199" s="482" t="s">
        <v>310</v>
      </c>
      <c r="E1199" s="468">
        <v>1500000</v>
      </c>
      <c r="F1199" s="440">
        <f>E1199*1.1</f>
        <v>1650000.0000000002</v>
      </c>
      <c r="G1199" s="440">
        <f>F1199*1.1</f>
        <v>1815000.0000000005</v>
      </c>
      <c r="H1199" s="132"/>
    </row>
    <row r="1200" spans="1:8" s="292" customFormat="1" outlineLevel="2">
      <c r="A1200" s="457"/>
      <c r="B1200" s="443"/>
      <c r="C1200" s="484"/>
      <c r="D1200" s="485" t="s">
        <v>201</v>
      </c>
      <c r="E1200" s="486">
        <f>E1197+E1193</f>
        <v>19702808</v>
      </c>
      <c r="F1200" s="486">
        <f>F1197+F1193</f>
        <v>20023088.800000001</v>
      </c>
      <c r="G1200" s="486">
        <f t="shared" ref="G1200" si="956">G1197+G1193</f>
        <v>22025397.680000003</v>
      </c>
      <c r="H1200" s="132"/>
    </row>
    <row r="1201" spans="1:8" s="292" customFormat="1" outlineLevel="1">
      <c r="A1201" s="457"/>
      <c r="B1201" s="443"/>
      <c r="C1201" s="484"/>
      <c r="D1201" s="485" t="s">
        <v>80</v>
      </c>
      <c r="E1201" s="486">
        <f>E1200+E1190</f>
        <v>31229506.199999999</v>
      </c>
      <c r="F1201" s="486">
        <f t="shared" ref="F1201:G1201" si="957">F1200+F1190</f>
        <v>32702456.82</v>
      </c>
      <c r="G1201" s="486">
        <f t="shared" si="957"/>
        <v>35972702.502000004</v>
      </c>
      <c r="H1201" s="132"/>
    </row>
    <row r="1202" spans="1:8" s="292" customFormat="1" outlineLevel="1">
      <c r="A1202" s="457"/>
      <c r="B1202" s="443"/>
      <c r="C1202" s="484"/>
      <c r="D1202" s="485" t="s">
        <v>311</v>
      </c>
      <c r="E1202" s="486">
        <f>E1201+E1133</f>
        <v>71740672.799999997</v>
      </c>
      <c r="F1202" s="486">
        <f>F1201+F1133</f>
        <v>77264740.080000013</v>
      </c>
      <c r="G1202" s="486">
        <f>G1201+G1133</f>
        <v>84991214.088000014</v>
      </c>
      <c r="H1202" s="132"/>
    </row>
    <row r="1203" spans="1:8" s="292" customFormat="1">
      <c r="A1203" s="437"/>
      <c r="B1203" s="437"/>
      <c r="C1203" s="478"/>
      <c r="D1203" s="317" t="s">
        <v>101</v>
      </c>
      <c r="E1203" s="466">
        <f>E1190+E1133+E1071+E901</f>
        <v>154206587.00099999</v>
      </c>
      <c r="F1203" s="466">
        <f>F1190+F1133+F1071+F901</f>
        <v>170240245.70109999</v>
      </c>
      <c r="G1203" s="466">
        <f>G1190+G1133+G1071+G901</f>
        <v>187264270.27121004</v>
      </c>
      <c r="H1203" s="132"/>
    </row>
    <row r="1204" spans="1:8" s="292" customFormat="1">
      <c r="A1204" s="437"/>
      <c r="B1204" s="437"/>
      <c r="C1204" s="478"/>
      <c r="D1204" s="317" t="s">
        <v>201</v>
      </c>
      <c r="E1204" s="466">
        <f>E1200+E1072</f>
        <v>43502808</v>
      </c>
      <c r="F1204" s="466">
        <f>F1200+F1072</f>
        <v>46203088.799999997</v>
      </c>
      <c r="G1204" s="466">
        <f>G1200+G1072</f>
        <v>50823397.680000007</v>
      </c>
      <c r="H1204" s="132"/>
    </row>
    <row r="1205" spans="1:8" s="292" customFormat="1">
      <c r="A1205" s="437"/>
      <c r="B1205" s="437"/>
      <c r="C1205" s="804" t="s">
        <v>312</v>
      </c>
      <c r="D1205" s="805"/>
      <c r="E1205" s="466">
        <f>E1204+E1203</f>
        <v>197709395.00099999</v>
      </c>
      <c r="F1205" s="466">
        <f t="shared" ref="F1205:G1205" si="958">F1204+F1203</f>
        <v>216443334.5011</v>
      </c>
      <c r="G1205" s="466">
        <f t="shared" si="958"/>
        <v>238087667.95121005</v>
      </c>
      <c r="H1205" s="132"/>
    </row>
    <row r="1206" spans="1:8" s="289" customFormat="1">
      <c r="A1206" s="311"/>
      <c r="B1206" s="311"/>
      <c r="C1206" s="312"/>
      <c r="D1206" s="313"/>
      <c r="E1206" s="314"/>
      <c r="F1206" s="382"/>
      <c r="G1206" s="382"/>
      <c r="H1206" s="132"/>
    </row>
    <row r="1207" spans="1:8" s="289" customFormat="1">
      <c r="A1207" s="311"/>
      <c r="B1207" s="311"/>
      <c r="C1207" s="312"/>
      <c r="D1207" s="313"/>
      <c r="E1207" s="314"/>
      <c r="F1207" s="382"/>
      <c r="G1207" s="382"/>
      <c r="H1207" s="132"/>
    </row>
    <row r="1208" spans="1:8" s="289" customFormat="1">
      <c r="A1208" s="311"/>
      <c r="B1208" s="311"/>
      <c r="C1208" s="312"/>
      <c r="D1208" s="313"/>
      <c r="E1208" s="314"/>
      <c r="F1208" s="382"/>
      <c r="G1208" s="382"/>
      <c r="H1208" s="132"/>
    </row>
    <row r="1209" spans="1:8" s="289" customFormat="1">
      <c r="A1209" s="382"/>
      <c r="B1209" s="382"/>
      <c r="C1209" s="438" t="s">
        <v>313</v>
      </c>
      <c r="D1209" s="487"/>
      <c r="E1209" s="488"/>
      <c r="F1209" s="489"/>
      <c r="G1209" s="489"/>
      <c r="H1209" s="132"/>
    </row>
    <row r="1210" spans="1:8" s="289" customFormat="1" outlineLevel="1">
      <c r="A1210" s="382"/>
      <c r="B1210" s="382"/>
      <c r="C1210" s="438" t="s">
        <v>314</v>
      </c>
      <c r="D1210" s="490"/>
      <c r="E1210" s="466"/>
      <c r="F1210" s="489">
        <f t="shared" ref="F1210:G1210" si="959">E1210*1.1</f>
        <v>0</v>
      </c>
      <c r="G1210" s="489">
        <f t="shared" si="959"/>
        <v>0</v>
      </c>
      <c r="H1210" s="132"/>
    </row>
    <row r="1211" spans="1:8" s="289" customFormat="1" outlineLevel="1">
      <c r="A1211" s="382"/>
      <c r="B1211" s="382"/>
      <c r="C1211" s="438" t="s">
        <v>315</v>
      </c>
      <c r="D1211" s="490"/>
      <c r="E1211" s="491"/>
      <c r="F1211" s="489">
        <f t="shared" ref="F1211:G1211" si="960">E1211*1.1</f>
        <v>0</v>
      </c>
      <c r="G1211" s="489">
        <f t="shared" si="960"/>
        <v>0</v>
      </c>
      <c r="H1211" s="132"/>
    </row>
    <row r="1212" spans="1:8" s="289" customFormat="1" outlineLevel="2">
      <c r="A1212" s="382"/>
      <c r="B1212" s="382"/>
      <c r="C1212" s="443">
        <v>2110100</v>
      </c>
      <c r="D1212" s="492" t="s">
        <v>13</v>
      </c>
      <c r="E1212" s="493">
        <f>SUM(E1213:E1214)</f>
        <v>110407882</v>
      </c>
      <c r="F1212" s="489">
        <f t="shared" ref="F1212:G1212" si="961">E1212*1.1</f>
        <v>121448670.2</v>
      </c>
      <c r="G1212" s="489">
        <f t="shared" si="961"/>
        <v>133593537.22000001</v>
      </c>
      <c r="H1212" s="132"/>
    </row>
    <row r="1213" spans="1:8" s="289" customFormat="1" outlineLevel="2">
      <c r="A1213" s="382"/>
      <c r="B1213" s="382"/>
      <c r="C1213" s="437">
        <v>2110101</v>
      </c>
      <c r="D1213" s="494" t="s">
        <v>316</v>
      </c>
      <c r="E1213" s="495">
        <v>110407882</v>
      </c>
      <c r="F1213" s="489">
        <f t="shared" ref="F1213:G1213" si="962">E1213*1.1</f>
        <v>121448670.2</v>
      </c>
      <c r="G1213" s="489">
        <f t="shared" si="962"/>
        <v>133593537.22000001</v>
      </c>
      <c r="H1213" s="132"/>
    </row>
    <row r="1214" spans="1:8" s="289" customFormat="1" outlineLevel="2">
      <c r="A1214" s="382"/>
      <c r="B1214" s="382"/>
      <c r="C1214" s="437">
        <v>2210120</v>
      </c>
      <c r="D1214" s="494" t="s">
        <v>317</v>
      </c>
      <c r="E1214" s="495">
        <v>0</v>
      </c>
      <c r="F1214" s="489">
        <f t="shared" ref="F1214:G1214" si="963">E1214*1.1</f>
        <v>0</v>
      </c>
      <c r="G1214" s="489">
        <f t="shared" si="963"/>
        <v>0</v>
      </c>
      <c r="H1214" s="132"/>
    </row>
    <row r="1215" spans="1:8" s="289" customFormat="1" outlineLevel="2">
      <c r="A1215" s="382"/>
      <c r="B1215" s="382"/>
      <c r="C1215" s="443">
        <v>2210100</v>
      </c>
      <c r="D1215" s="492" t="s">
        <v>16</v>
      </c>
      <c r="E1215" s="493">
        <f>E1217+E1216</f>
        <v>16918</v>
      </c>
      <c r="F1215" s="489">
        <f t="shared" ref="F1215:G1215" si="964">E1215*1.1</f>
        <v>18609.800000000003</v>
      </c>
      <c r="G1215" s="489">
        <f t="shared" si="964"/>
        <v>20470.780000000006</v>
      </c>
      <c r="H1215" s="132"/>
    </row>
    <row r="1216" spans="1:8" s="289" customFormat="1" outlineLevel="2">
      <c r="A1216" s="382"/>
      <c r="B1216" s="382"/>
      <c r="C1216" s="437">
        <v>2210101</v>
      </c>
      <c r="D1216" s="494" t="s">
        <v>17</v>
      </c>
      <c r="E1216" s="496">
        <v>5400</v>
      </c>
      <c r="F1216" s="489">
        <f t="shared" ref="F1216:G1216" si="965">E1216*1.1</f>
        <v>5940.0000000000009</v>
      </c>
      <c r="G1216" s="489">
        <f t="shared" si="965"/>
        <v>6534.0000000000018</v>
      </c>
      <c r="H1216" s="132"/>
    </row>
    <row r="1217" spans="1:8" s="289" customFormat="1" outlineLevel="2">
      <c r="A1217" s="382"/>
      <c r="B1217" s="382"/>
      <c r="C1217" s="437">
        <v>2210102</v>
      </c>
      <c r="D1217" s="494" t="s">
        <v>18</v>
      </c>
      <c r="E1217" s="496">
        <v>11518</v>
      </c>
      <c r="F1217" s="489">
        <f t="shared" ref="F1217:G1217" si="966">E1217*1.1</f>
        <v>12669.800000000001</v>
      </c>
      <c r="G1217" s="489">
        <f t="shared" si="966"/>
        <v>13936.780000000002</v>
      </c>
      <c r="H1217" s="132"/>
    </row>
    <row r="1218" spans="1:8" s="289" customFormat="1" outlineLevel="2">
      <c r="A1218" s="382"/>
      <c r="B1218" s="382"/>
      <c r="C1218" s="443">
        <v>2210200</v>
      </c>
      <c r="D1218" s="492" t="s">
        <v>19</v>
      </c>
      <c r="E1218" s="493">
        <f>E1219+E1220</f>
        <v>145073</v>
      </c>
      <c r="F1218" s="489">
        <f t="shared" ref="F1218:G1218" si="967">E1218*1.1</f>
        <v>159580.30000000002</v>
      </c>
      <c r="G1218" s="489">
        <f t="shared" si="967"/>
        <v>175538.33000000005</v>
      </c>
      <c r="H1218" s="132"/>
    </row>
    <row r="1219" spans="1:8" s="289" customFormat="1" outlineLevel="2">
      <c r="A1219" s="382"/>
      <c r="B1219" s="382"/>
      <c r="C1219" s="437">
        <v>2210201</v>
      </c>
      <c r="D1219" s="494" t="s">
        <v>20</v>
      </c>
      <c r="E1219" s="496">
        <v>117247</v>
      </c>
      <c r="F1219" s="489">
        <f t="shared" ref="F1219:G1219" si="968">E1219*1.1</f>
        <v>128971.70000000001</v>
      </c>
      <c r="G1219" s="489">
        <f t="shared" si="968"/>
        <v>141868.87000000002</v>
      </c>
      <c r="H1219" s="132"/>
    </row>
    <row r="1220" spans="1:8" s="289" customFormat="1" outlineLevel="2">
      <c r="A1220" s="382"/>
      <c r="B1220" s="382"/>
      <c r="C1220" s="437">
        <v>2210203</v>
      </c>
      <c r="D1220" s="494" t="s">
        <v>22</v>
      </c>
      <c r="E1220" s="496">
        <v>27826</v>
      </c>
      <c r="F1220" s="489">
        <f t="shared" ref="F1220:G1220" si="969">E1220*1.1</f>
        <v>30608.600000000002</v>
      </c>
      <c r="G1220" s="489">
        <f t="shared" si="969"/>
        <v>33669.460000000006</v>
      </c>
      <c r="H1220" s="132"/>
    </row>
    <row r="1221" spans="1:8" s="289" customFormat="1" outlineLevel="2">
      <c r="A1221" s="382"/>
      <c r="B1221" s="382"/>
      <c r="C1221" s="443">
        <v>2210300</v>
      </c>
      <c r="D1221" s="492" t="s">
        <v>318</v>
      </c>
      <c r="E1221" s="493">
        <f>E1222+E1223+E1224</f>
        <v>2214140.7199999997</v>
      </c>
      <c r="F1221" s="489">
        <f t="shared" ref="F1221:G1221" si="970">E1221*1.1</f>
        <v>2435554.7919999999</v>
      </c>
      <c r="G1221" s="489">
        <f t="shared" si="970"/>
        <v>2679110.2712000003</v>
      </c>
      <c r="H1221" s="132"/>
    </row>
    <row r="1222" spans="1:8" s="289" customFormat="1" outlineLevel="2">
      <c r="A1222" s="382"/>
      <c r="B1222" s="382"/>
      <c r="C1222" s="437">
        <v>2210301</v>
      </c>
      <c r="D1222" s="494" t="s">
        <v>319</v>
      </c>
      <c r="E1222" s="496">
        <v>263768</v>
      </c>
      <c r="F1222" s="489">
        <f t="shared" ref="F1222:G1222" si="971">E1222*1.1</f>
        <v>290144.80000000005</v>
      </c>
      <c r="G1222" s="489">
        <f t="shared" si="971"/>
        <v>319159.28000000009</v>
      </c>
      <c r="H1222" s="132"/>
    </row>
    <row r="1223" spans="1:8" s="289" customFormat="1" outlineLevel="2">
      <c r="A1223" s="382"/>
      <c r="B1223" s="382"/>
      <c r="C1223" s="437">
        <v>2210302</v>
      </c>
      <c r="D1223" s="494" t="s">
        <v>320</v>
      </c>
      <c r="E1223" s="496">
        <v>122464</v>
      </c>
      <c r="F1223" s="489">
        <f t="shared" ref="F1223:G1223" si="972">E1223*1.1</f>
        <v>134710.40000000002</v>
      </c>
      <c r="G1223" s="489">
        <f t="shared" si="972"/>
        <v>148181.44000000003</v>
      </c>
      <c r="H1223" s="132"/>
    </row>
    <row r="1224" spans="1:8" s="289" customFormat="1" outlineLevel="2">
      <c r="A1224" s="382"/>
      <c r="B1224" s="382"/>
      <c r="C1224" s="437">
        <v>2210303</v>
      </c>
      <c r="D1224" s="494" t="s">
        <v>26</v>
      </c>
      <c r="E1224" s="496">
        <v>1827908.72</v>
      </c>
      <c r="F1224" s="489">
        <f t="shared" ref="F1224:G1224" si="973">E1224*1.1</f>
        <v>2010699.5920000002</v>
      </c>
      <c r="G1224" s="489">
        <f t="shared" si="973"/>
        <v>2211769.5512000006</v>
      </c>
      <c r="H1224" s="132"/>
    </row>
    <row r="1225" spans="1:8" s="289" customFormat="1" ht="30" outlineLevel="2">
      <c r="A1225" s="382"/>
      <c r="B1225" s="382"/>
      <c r="C1225" s="443">
        <v>2210400</v>
      </c>
      <c r="D1225" s="492" t="s">
        <v>209</v>
      </c>
      <c r="E1225" s="493">
        <f>E1226+E1227+E1228</f>
        <v>517638</v>
      </c>
      <c r="F1225" s="489">
        <f t="shared" ref="F1225:G1225" si="974">E1225*1.1</f>
        <v>569401.80000000005</v>
      </c>
      <c r="G1225" s="489">
        <f t="shared" si="974"/>
        <v>626341.9800000001</v>
      </c>
      <c r="H1225" s="132"/>
    </row>
    <row r="1226" spans="1:8" s="289" customFormat="1" outlineLevel="2">
      <c r="A1226" s="382"/>
      <c r="B1226" s="382"/>
      <c r="C1226" s="437">
        <v>2210401</v>
      </c>
      <c r="D1226" s="494" t="s">
        <v>210</v>
      </c>
      <c r="E1226" s="496">
        <v>205154</v>
      </c>
      <c r="F1226" s="489">
        <f t="shared" ref="F1226:G1226" si="975">E1226*1.1</f>
        <v>225669.40000000002</v>
      </c>
      <c r="G1226" s="489">
        <f t="shared" si="975"/>
        <v>248236.34000000005</v>
      </c>
      <c r="H1226" s="132"/>
    </row>
    <row r="1227" spans="1:8" s="289" customFormat="1" outlineLevel="2">
      <c r="A1227" s="382"/>
      <c r="B1227" s="382"/>
      <c r="C1227" s="437">
        <v>2210402</v>
      </c>
      <c r="D1227" s="494" t="s">
        <v>321</v>
      </c>
      <c r="E1227" s="496">
        <v>149250</v>
      </c>
      <c r="F1227" s="489">
        <f t="shared" ref="F1227:G1227" si="976">E1227*1.1</f>
        <v>164175</v>
      </c>
      <c r="G1227" s="489">
        <f t="shared" si="976"/>
        <v>180592.50000000003</v>
      </c>
      <c r="H1227" s="132"/>
    </row>
    <row r="1228" spans="1:8" s="289" customFormat="1" outlineLevel="2">
      <c r="A1228" s="382"/>
      <c r="B1228" s="382"/>
      <c r="C1228" s="437">
        <v>2210403</v>
      </c>
      <c r="D1228" s="494" t="s">
        <v>27</v>
      </c>
      <c r="E1228" s="496">
        <v>163234</v>
      </c>
      <c r="F1228" s="489">
        <f t="shared" ref="F1228:G1228" si="977">E1228*1.1</f>
        <v>179557.40000000002</v>
      </c>
      <c r="G1228" s="489">
        <f t="shared" si="977"/>
        <v>197513.14000000004</v>
      </c>
      <c r="H1228" s="132"/>
    </row>
    <row r="1229" spans="1:8" s="289" customFormat="1" outlineLevel="2">
      <c r="A1229" s="382"/>
      <c r="B1229" s="382"/>
      <c r="C1229" s="443">
        <v>2210500</v>
      </c>
      <c r="D1229" s="492" t="s">
        <v>30</v>
      </c>
      <c r="E1229" s="493">
        <f>E1230+E1231+E1232</f>
        <v>366818</v>
      </c>
      <c r="F1229" s="489">
        <f t="shared" ref="F1229:G1229" si="978">E1229*1.1</f>
        <v>403499.80000000005</v>
      </c>
      <c r="G1229" s="489">
        <f t="shared" si="978"/>
        <v>443849.78000000009</v>
      </c>
      <c r="H1229" s="132"/>
    </row>
    <row r="1230" spans="1:8" s="289" customFormat="1" outlineLevel="2">
      <c r="A1230" s="382"/>
      <c r="B1230" s="382"/>
      <c r="C1230" s="437">
        <v>2210502</v>
      </c>
      <c r="D1230" s="494" t="s">
        <v>162</v>
      </c>
      <c r="E1230" s="497">
        <v>178000</v>
      </c>
      <c r="F1230" s="489">
        <f t="shared" ref="F1230:G1230" si="979">E1230*1.1</f>
        <v>195800.00000000003</v>
      </c>
      <c r="G1230" s="489">
        <f t="shared" si="979"/>
        <v>215380.00000000006</v>
      </c>
      <c r="H1230" s="132"/>
    </row>
    <row r="1231" spans="1:8" s="289" customFormat="1" outlineLevel="2">
      <c r="A1231" s="382"/>
      <c r="B1231" s="382"/>
      <c r="C1231" s="437">
        <v>2210503</v>
      </c>
      <c r="D1231" s="494" t="s">
        <v>31</v>
      </c>
      <c r="E1231" s="496">
        <v>38818</v>
      </c>
      <c r="F1231" s="489">
        <f t="shared" ref="F1231:G1231" si="980">E1231*1.1</f>
        <v>42699.8</v>
      </c>
      <c r="G1231" s="489">
        <f t="shared" si="980"/>
        <v>46969.780000000006</v>
      </c>
      <c r="H1231" s="132"/>
    </row>
    <row r="1232" spans="1:8" s="289" customFormat="1" outlineLevel="2">
      <c r="A1232" s="382"/>
      <c r="B1232" s="382"/>
      <c r="C1232" s="437">
        <v>2210504</v>
      </c>
      <c r="D1232" s="494" t="s">
        <v>32</v>
      </c>
      <c r="E1232" s="496">
        <v>150000</v>
      </c>
      <c r="F1232" s="489">
        <f t="shared" ref="F1232:G1232" si="981">E1232*1.1</f>
        <v>165000</v>
      </c>
      <c r="G1232" s="489">
        <f t="shared" si="981"/>
        <v>181500.00000000003</v>
      </c>
      <c r="H1232" s="132"/>
    </row>
    <row r="1233" spans="1:8" s="289" customFormat="1" outlineLevel="2">
      <c r="A1233" s="382"/>
      <c r="B1233" s="382"/>
      <c r="C1233" s="443">
        <v>2210700</v>
      </c>
      <c r="D1233" s="492" t="s">
        <v>322</v>
      </c>
      <c r="E1233" s="493">
        <f>E1234+E1235+E1236+E1237</f>
        <v>700000</v>
      </c>
      <c r="F1233" s="489">
        <f t="shared" ref="F1233:G1233" si="982">E1233*1.1</f>
        <v>770000.00000000012</v>
      </c>
      <c r="G1233" s="489">
        <f t="shared" si="982"/>
        <v>847000.00000000023</v>
      </c>
      <c r="H1233" s="132"/>
    </row>
    <row r="1234" spans="1:8" s="289" customFormat="1" outlineLevel="2">
      <c r="A1234" s="382"/>
      <c r="B1234" s="382"/>
      <c r="C1234" s="437">
        <v>2210701</v>
      </c>
      <c r="D1234" s="494" t="s">
        <v>323</v>
      </c>
      <c r="E1234" s="496">
        <v>329267</v>
      </c>
      <c r="F1234" s="489">
        <f t="shared" ref="F1234:G1234" si="983">E1234*1.1</f>
        <v>362193.7</v>
      </c>
      <c r="G1234" s="489">
        <f t="shared" si="983"/>
        <v>398413.07000000007</v>
      </c>
      <c r="H1234" s="132"/>
    </row>
    <row r="1235" spans="1:8" s="289" customFormat="1" outlineLevel="2">
      <c r="A1235" s="382"/>
      <c r="B1235" s="382"/>
      <c r="C1235" s="437">
        <v>2210703</v>
      </c>
      <c r="D1235" s="494" t="s">
        <v>324</v>
      </c>
      <c r="E1235" s="496">
        <v>105540</v>
      </c>
      <c r="F1235" s="489">
        <f t="shared" ref="F1235:G1235" si="984">E1235*1.1</f>
        <v>116094.00000000001</v>
      </c>
      <c r="G1235" s="489">
        <f t="shared" si="984"/>
        <v>127703.40000000002</v>
      </c>
      <c r="H1235" s="132"/>
    </row>
    <row r="1236" spans="1:8" s="289" customFormat="1" outlineLevel="2">
      <c r="A1236" s="382"/>
      <c r="B1236" s="382"/>
      <c r="C1236" s="437">
        <v>2210704</v>
      </c>
      <c r="D1236" s="494" t="s">
        <v>325</v>
      </c>
      <c r="E1236" s="496">
        <v>78003</v>
      </c>
      <c r="F1236" s="489">
        <f t="shared" ref="F1236:G1236" si="985">E1236*1.1</f>
        <v>85803.3</v>
      </c>
      <c r="G1236" s="489">
        <f t="shared" si="985"/>
        <v>94383.63</v>
      </c>
      <c r="H1236" s="132"/>
    </row>
    <row r="1237" spans="1:8" s="289" customFormat="1" outlineLevel="2">
      <c r="A1237" s="382"/>
      <c r="B1237" s="382"/>
      <c r="C1237" s="437">
        <v>2210710</v>
      </c>
      <c r="D1237" s="494" t="s">
        <v>38</v>
      </c>
      <c r="E1237" s="496">
        <v>187190</v>
      </c>
      <c r="F1237" s="489">
        <f t="shared" ref="F1237:G1237" si="986">E1237*1.1</f>
        <v>205909.00000000003</v>
      </c>
      <c r="G1237" s="489">
        <f t="shared" si="986"/>
        <v>226499.90000000005</v>
      </c>
      <c r="H1237" s="132"/>
    </row>
    <row r="1238" spans="1:8" s="289" customFormat="1" outlineLevel="2">
      <c r="A1238" s="382"/>
      <c r="B1238" s="382"/>
      <c r="C1238" s="443">
        <v>2210800</v>
      </c>
      <c r="D1238" s="492" t="s">
        <v>41</v>
      </c>
      <c r="E1238" s="493">
        <f>E1239+E1240</f>
        <v>307042</v>
      </c>
      <c r="F1238" s="489">
        <f t="shared" ref="F1238:G1238" si="987">E1238*1.1</f>
        <v>337746.2</v>
      </c>
      <c r="G1238" s="489">
        <f t="shared" si="987"/>
        <v>371520.82000000007</v>
      </c>
      <c r="H1238" s="132"/>
    </row>
    <row r="1239" spans="1:8" s="289" customFormat="1" outlineLevel="2">
      <c r="A1239" s="382"/>
      <c r="B1239" s="382"/>
      <c r="C1239" s="437">
        <v>2210801</v>
      </c>
      <c r="D1239" s="494" t="s">
        <v>326</v>
      </c>
      <c r="E1239" s="496">
        <v>150000</v>
      </c>
      <c r="F1239" s="489">
        <f t="shared" ref="F1239:G1239" si="988">E1239*1.1</f>
        <v>165000</v>
      </c>
      <c r="G1239" s="489">
        <f t="shared" si="988"/>
        <v>181500.00000000003</v>
      </c>
      <c r="H1239" s="132"/>
    </row>
    <row r="1240" spans="1:8" s="289" customFormat="1" outlineLevel="2">
      <c r="A1240" s="382"/>
      <c r="B1240" s="382"/>
      <c r="C1240" s="437">
        <v>2210802</v>
      </c>
      <c r="D1240" s="494" t="s">
        <v>86</v>
      </c>
      <c r="E1240" s="496">
        <v>157042</v>
      </c>
      <c r="F1240" s="489">
        <f t="shared" ref="F1240:G1240" si="989">E1240*1.1</f>
        <v>172746.2</v>
      </c>
      <c r="G1240" s="489">
        <f t="shared" si="989"/>
        <v>190020.82000000004</v>
      </c>
      <c r="H1240" s="132"/>
    </row>
    <row r="1241" spans="1:8" s="289" customFormat="1" outlineLevel="2">
      <c r="A1241" s="382"/>
      <c r="B1241" s="382"/>
      <c r="C1241" s="443">
        <v>2211000</v>
      </c>
      <c r="D1241" s="492" t="s">
        <v>173</v>
      </c>
      <c r="E1241" s="493">
        <f>E1242</f>
        <v>200000</v>
      </c>
      <c r="F1241" s="489">
        <f t="shared" ref="F1241:G1241" si="990">E1241*1.1</f>
        <v>220000.00000000003</v>
      </c>
      <c r="G1241" s="489">
        <f t="shared" si="990"/>
        <v>242000.00000000006</v>
      </c>
      <c r="H1241" s="132"/>
    </row>
    <row r="1242" spans="1:8" s="289" customFormat="1" outlineLevel="2">
      <c r="A1242" s="382"/>
      <c r="B1242" s="382"/>
      <c r="C1242" s="437">
        <v>2211016</v>
      </c>
      <c r="D1242" s="701" t="s">
        <v>219</v>
      </c>
      <c r="E1242" s="496">
        <v>200000</v>
      </c>
      <c r="F1242" s="489">
        <f t="shared" ref="F1242:G1242" si="991">E1242*1.1</f>
        <v>220000.00000000003</v>
      </c>
      <c r="G1242" s="489">
        <f t="shared" si="991"/>
        <v>242000.00000000006</v>
      </c>
      <c r="H1242" s="132"/>
    </row>
    <row r="1243" spans="1:8" s="289" customFormat="1" outlineLevel="2">
      <c r="A1243" s="382"/>
      <c r="B1243" s="382"/>
      <c r="C1243" s="443">
        <v>2211100</v>
      </c>
      <c r="D1243" s="492" t="s">
        <v>327</v>
      </c>
      <c r="E1243" s="493">
        <f>E1244+E1245</f>
        <v>334631</v>
      </c>
      <c r="F1243" s="489">
        <f t="shared" ref="F1243:G1243" si="992">E1243*1.1</f>
        <v>368094.10000000003</v>
      </c>
      <c r="G1243" s="489">
        <f t="shared" si="992"/>
        <v>404903.51000000007</v>
      </c>
      <c r="H1243" s="132"/>
    </row>
    <row r="1244" spans="1:8" s="289" customFormat="1" ht="30" outlineLevel="2">
      <c r="A1244" s="382"/>
      <c r="B1244" s="382"/>
      <c r="C1244" s="437">
        <v>2211101</v>
      </c>
      <c r="D1244" s="494" t="s">
        <v>328</v>
      </c>
      <c r="E1244" s="496">
        <v>150000</v>
      </c>
      <c r="F1244" s="489">
        <f t="shared" ref="F1244:G1244" si="993">E1244*1.1</f>
        <v>165000</v>
      </c>
      <c r="G1244" s="489">
        <f t="shared" si="993"/>
        <v>181500.00000000003</v>
      </c>
      <c r="H1244" s="132"/>
    </row>
    <row r="1245" spans="1:8" s="289" customFormat="1" outlineLevel="2">
      <c r="A1245" s="382"/>
      <c r="B1245" s="382"/>
      <c r="C1245" s="437">
        <v>2211103</v>
      </c>
      <c r="D1245" s="494" t="s">
        <v>52</v>
      </c>
      <c r="E1245" s="496">
        <v>184631</v>
      </c>
      <c r="F1245" s="489">
        <f t="shared" ref="F1245:G1245" si="994">E1245*1.1</f>
        <v>203094.1</v>
      </c>
      <c r="G1245" s="489">
        <f t="shared" si="994"/>
        <v>223403.51000000004</v>
      </c>
      <c r="H1245" s="132"/>
    </row>
    <row r="1246" spans="1:8" s="289" customFormat="1" outlineLevel="2">
      <c r="A1246" s="382"/>
      <c r="B1246" s="382"/>
      <c r="C1246" s="443">
        <v>2211200</v>
      </c>
      <c r="D1246" s="492" t="s">
        <v>53</v>
      </c>
      <c r="E1246" s="493">
        <f>E1247</f>
        <v>2294650</v>
      </c>
      <c r="F1246" s="489">
        <f t="shared" ref="F1246:G1246" si="995">E1246*1.1</f>
        <v>2524115</v>
      </c>
      <c r="G1246" s="489">
        <f t="shared" si="995"/>
        <v>2776526.5</v>
      </c>
      <c r="H1246" s="132"/>
    </row>
    <row r="1247" spans="1:8" s="289" customFormat="1" outlineLevel="2">
      <c r="A1247" s="382"/>
      <c r="B1247" s="382"/>
      <c r="C1247" s="437">
        <v>2211201</v>
      </c>
      <c r="D1247" s="494" t="s">
        <v>91</v>
      </c>
      <c r="E1247" s="496">
        <v>2294650</v>
      </c>
      <c r="F1247" s="489">
        <f t="shared" ref="F1247:G1247" si="996">E1247*1.1</f>
        <v>2524115</v>
      </c>
      <c r="G1247" s="489">
        <f t="shared" si="996"/>
        <v>2776526.5</v>
      </c>
      <c r="H1247" s="132"/>
    </row>
    <row r="1248" spans="1:8" s="289" customFormat="1" outlineLevel="2">
      <c r="A1248" s="382"/>
      <c r="B1248" s="382"/>
      <c r="C1248" s="443">
        <v>2220100</v>
      </c>
      <c r="D1248" s="492" t="s">
        <v>225</v>
      </c>
      <c r="E1248" s="493">
        <f>E1249</f>
        <v>450000</v>
      </c>
      <c r="F1248" s="489">
        <f t="shared" ref="F1248:G1248" si="997">E1248*1.1</f>
        <v>495000.00000000006</v>
      </c>
      <c r="G1248" s="489">
        <f t="shared" si="997"/>
        <v>544500.00000000012</v>
      </c>
      <c r="H1248" s="132"/>
    </row>
    <row r="1249" spans="1:8" s="289" customFormat="1" outlineLevel="2">
      <c r="A1249" s="382"/>
      <c r="B1249" s="382"/>
      <c r="C1249" s="437">
        <v>2220101</v>
      </c>
      <c r="D1249" s="494" t="s">
        <v>225</v>
      </c>
      <c r="E1249" s="496">
        <v>450000</v>
      </c>
      <c r="F1249" s="489">
        <f t="shared" ref="F1249:G1249" si="998">E1249*1.1</f>
        <v>495000.00000000006</v>
      </c>
      <c r="G1249" s="489">
        <f t="shared" si="998"/>
        <v>544500.00000000012</v>
      </c>
      <c r="H1249" s="132"/>
    </row>
    <row r="1250" spans="1:8" s="289" customFormat="1" outlineLevel="2">
      <c r="A1250" s="382"/>
      <c r="B1250" s="382"/>
      <c r="C1250" s="443">
        <v>2220100</v>
      </c>
      <c r="D1250" s="492" t="s">
        <v>179</v>
      </c>
      <c r="E1250" s="493">
        <f>E1251</f>
        <v>137122</v>
      </c>
      <c r="F1250" s="489">
        <f t="shared" ref="F1250:G1250" si="999">E1250*1.1</f>
        <v>150834.20000000001</v>
      </c>
      <c r="G1250" s="489">
        <f t="shared" si="999"/>
        <v>165917.62000000002</v>
      </c>
      <c r="H1250" s="132"/>
    </row>
    <row r="1251" spans="1:8" s="289" customFormat="1" outlineLevel="2">
      <c r="A1251" s="382"/>
      <c r="B1251" s="382"/>
      <c r="C1251" s="437">
        <v>2220210</v>
      </c>
      <c r="D1251" s="494" t="s">
        <v>181</v>
      </c>
      <c r="E1251" s="496">
        <v>137122</v>
      </c>
      <c r="F1251" s="489">
        <f t="shared" ref="F1251:G1251" si="1000">E1251*1.1</f>
        <v>150834.20000000001</v>
      </c>
      <c r="G1251" s="489">
        <f t="shared" si="1000"/>
        <v>165917.62000000002</v>
      </c>
      <c r="H1251" s="132"/>
    </row>
    <row r="1252" spans="1:8" s="289" customFormat="1" outlineLevel="2">
      <c r="A1252" s="382"/>
      <c r="B1252" s="382"/>
      <c r="C1252" s="443">
        <v>3111000</v>
      </c>
      <c r="D1252" s="492" t="s">
        <v>65</v>
      </c>
      <c r="E1252" s="493">
        <f>E1253</f>
        <v>400000</v>
      </c>
      <c r="F1252" s="489">
        <f t="shared" ref="F1252:G1252" si="1001">E1252*1.1</f>
        <v>440000.00000000006</v>
      </c>
      <c r="G1252" s="489">
        <f t="shared" si="1001"/>
        <v>484000.00000000012</v>
      </c>
      <c r="H1252" s="132"/>
    </row>
    <row r="1253" spans="1:8" s="289" customFormat="1" outlineLevel="2">
      <c r="A1253" s="382"/>
      <c r="B1253" s="382"/>
      <c r="C1253" s="437">
        <v>3111002</v>
      </c>
      <c r="D1253" s="494" t="s">
        <v>67</v>
      </c>
      <c r="E1253" s="496">
        <v>400000</v>
      </c>
      <c r="F1253" s="489">
        <f t="shared" ref="F1253:G1253" si="1002">E1253*1.1</f>
        <v>440000.00000000006</v>
      </c>
      <c r="G1253" s="489">
        <f t="shared" si="1002"/>
        <v>484000.00000000012</v>
      </c>
      <c r="H1253" s="132"/>
    </row>
    <row r="1254" spans="1:8" s="289" customFormat="1" outlineLevel="1">
      <c r="A1254" s="382"/>
      <c r="B1254" s="382"/>
      <c r="C1254" s="478"/>
      <c r="D1254" s="490" t="s">
        <v>329</v>
      </c>
      <c r="E1254" s="498">
        <f>E1252+E1250+E1248+E1246+E1243+E1241+E1238+E1233+E1229+E1225+E1221+E1218+E1215+E1212</f>
        <v>118491914.72</v>
      </c>
      <c r="F1254" s="489">
        <f t="shared" ref="F1254:G1254" si="1003">E1254*1.1</f>
        <v>130341106.19200002</v>
      </c>
      <c r="G1254" s="489">
        <f t="shared" si="1003"/>
        <v>143375216.81120002</v>
      </c>
      <c r="H1254" s="132"/>
    </row>
    <row r="1255" spans="1:8" s="289" customFormat="1" outlineLevel="1">
      <c r="A1255" s="382"/>
      <c r="B1255" s="382"/>
      <c r="C1255" s="443"/>
      <c r="D1255" s="494"/>
      <c r="E1255" s="493"/>
      <c r="F1255" s="489">
        <f t="shared" ref="F1255:G1255" si="1004">E1255*1.1</f>
        <v>0</v>
      </c>
      <c r="G1255" s="489">
        <f t="shared" si="1004"/>
        <v>0</v>
      </c>
      <c r="H1255" s="132"/>
    </row>
    <row r="1256" spans="1:8" s="289" customFormat="1" outlineLevel="1">
      <c r="A1256" s="382"/>
      <c r="B1256" s="382"/>
      <c r="C1256" s="443" t="s">
        <v>9</v>
      </c>
      <c r="D1256" s="492" t="s">
        <v>330</v>
      </c>
      <c r="E1256" s="499"/>
      <c r="F1256" s="489">
        <f t="shared" ref="F1256:G1256" si="1005">E1256*1.1</f>
        <v>0</v>
      </c>
      <c r="G1256" s="489">
        <f t="shared" si="1005"/>
        <v>0</v>
      </c>
      <c r="H1256" s="132"/>
    </row>
    <row r="1257" spans="1:8" s="289" customFormat="1" outlineLevel="1">
      <c r="A1257" s="382"/>
      <c r="B1257" s="382"/>
      <c r="C1257" s="438" t="s">
        <v>331</v>
      </c>
      <c r="D1257" s="490"/>
      <c r="E1257" s="500"/>
      <c r="F1257" s="489">
        <f t="shared" ref="F1257:G1257" si="1006">E1257*1.1</f>
        <v>0</v>
      </c>
      <c r="G1257" s="489">
        <f t="shared" si="1006"/>
        <v>0</v>
      </c>
      <c r="H1257" s="132"/>
    </row>
    <row r="1258" spans="1:8" s="289" customFormat="1" outlineLevel="2">
      <c r="A1258" s="382"/>
      <c r="B1258" s="382"/>
      <c r="C1258" s="443">
        <v>2210100</v>
      </c>
      <c r="D1258" s="492" t="s">
        <v>16</v>
      </c>
      <c r="E1258" s="499">
        <f>SUM(E1259:E1260)</f>
        <v>221040</v>
      </c>
      <c r="F1258" s="489">
        <f t="shared" ref="F1258:G1258" si="1007">E1258*1.1</f>
        <v>243144.00000000003</v>
      </c>
      <c r="G1258" s="489">
        <f t="shared" si="1007"/>
        <v>267458.40000000008</v>
      </c>
      <c r="H1258" s="132"/>
    </row>
    <row r="1259" spans="1:8" s="289" customFormat="1" outlineLevel="2">
      <c r="A1259" s="382"/>
      <c r="B1259" s="382"/>
      <c r="C1259" s="437">
        <v>2210101</v>
      </c>
      <c r="D1259" s="494" t="s">
        <v>17</v>
      </c>
      <c r="E1259" s="501">
        <v>94400</v>
      </c>
      <c r="F1259" s="489">
        <f t="shared" ref="F1259:G1259" si="1008">E1259*1.1</f>
        <v>103840.00000000001</v>
      </c>
      <c r="G1259" s="489">
        <f t="shared" si="1008"/>
        <v>114224.00000000003</v>
      </c>
      <c r="H1259" s="132"/>
    </row>
    <row r="1260" spans="1:8" s="289" customFormat="1" outlineLevel="2">
      <c r="A1260" s="382"/>
      <c r="B1260" s="382"/>
      <c r="C1260" s="437">
        <v>2210102</v>
      </c>
      <c r="D1260" s="494" t="s">
        <v>18</v>
      </c>
      <c r="E1260" s="501">
        <v>126640</v>
      </c>
      <c r="F1260" s="489">
        <f t="shared" ref="F1260:G1260" si="1009">E1260*1.1</f>
        <v>139304</v>
      </c>
      <c r="G1260" s="489">
        <f t="shared" si="1009"/>
        <v>153234.40000000002</v>
      </c>
      <c r="H1260" s="132"/>
    </row>
    <row r="1261" spans="1:8" s="289" customFormat="1" outlineLevel="2">
      <c r="A1261" s="382"/>
      <c r="B1261" s="382"/>
      <c r="C1261" s="443">
        <v>2210200</v>
      </c>
      <c r="D1261" s="492" t="s">
        <v>19</v>
      </c>
      <c r="E1261" s="499">
        <f>SUM(E1262:E1263)</f>
        <v>588066</v>
      </c>
      <c r="F1261" s="489">
        <f t="shared" ref="F1261:G1261" si="1010">E1261*1.1</f>
        <v>646872.60000000009</v>
      </c>
      <c r="G1261" s="489">
        <f t="shared" si="1010"/>
        <v>711559.8600000001</v>
      </c>
      <c r="H1261" s="132"/>
    </row>
    <row r="1262" spans="1:8" s="289" customFormat="1" outlineLevel="2">
      <c r="A1262" s="382"/>
      <c r="B1262" s="382"/>
      <c r="C1262" s="437">
        <v>2210201</v>
      </c>
      <c r="D1262" s="494" t="s">
        <v>20</v>
      </c>
      <c r="E1262" s="501">
        <v>279033</v>
      </c>
      <c r="F1262" s="489">
        <f t="shared" ref="F1262:G1262" si="1011">E1262*1.1</f>
        <v>306936.30000000005</v>
      </c>
      <c r="G1262" s="489">
        <f t="shared" si="1011"/>
        <v>337629.93000000005</v>
      </c>
      <c r="H1262" s="132"/>
    </row>
    <row r="1263" spans="1:8" s="289" customFormat="1" outlineLevel="2">
      <c r="A1263" s="382"/>
      <c r="B1263" s="382"/>
      <c r="C1263" s="437">
        <v>2210202</v>
      </c>
      <c r="D1263" s="494" t="s">
        <v>21</v>
      </c>
      <c r="E1263" s="501">
        <v>309033</v>
      </c>
      <c r="F1263" s="489">
        <f t="shared" ref="F1263:G1263" si="1012">E1263*1.1</f>
        <v>339936.30000000005</v>
      </c>
      <c r="G1263" s="489">
        <f t="shared" si="1012"/>
        <v>373929.93000000011</v>
      </c>
      <c r="H1263" s="132"/>
    </row>
    <row r="1264" spans="1:8" s="289" customFormat="1" outlineLevel="2">
      <c r="A1264" s="382"/>
      <c r="B1264" s="382"/>
      <c r="C1264" s="443">
        <v>2210300</v>
      </c>
      <c r="D1264" s="492" t="s">
        <v>318</v>
      </c>
      <c r="E1264" s="499">
        <f>SUM(E1265:E1267)</f>
        <v>2232385</v>
      </c>
      <c r="F1264" s="489">
        <f t="shared" ref="F1264:G1264" si="1013">E1264*1.1</f>
        <v>2455623.5</v>
      </c>
      <c r="G1264" s="489">
        <f t="shared" si="1013"/>
        <v>2701185.85</v>
      </c>
      <c r="H1264" s="132"/>
    </row>
    <row r="1265" spans="1:8" s="289" customFormat="1" outlineLevel="2">
      <c r="A1265" s="382"/>
      <c r="B1265" s="382"/>
      <c r="C1265" s="437">
        <v>2210301</v>
      </c>
      <c r="D1265" s="494" t="s">
        <v>319</v>
      </c>
      <c r="E1265" s="501">
        <v>734472</v>
      </c>
      <c r="F1265" s="489">
        <f t="shared" ref="F1265:G1265" si="1014">E1265*1.1</f>
        <v>807919.20000000007</v>
      </c>
      <c r="G1265" s="489">
        <f t="shared" si="1014"/>
        <v>888711.12000000011</v>
      </c>
      <c r="H1265" s="132"/>
    </row>
    <row r="1266" spans="1:8" s="289" customFormat="1" outlineLevel="2">
      <c r="A1266" s="382"/>
      <c r="B1266" s="382"/>
      <c r="C1266" s="437">
        <v>2210302</v>
      </c>
      <c r="D1266" s="494" t="s">
        <v>320</v>
      </c>
      <c r="E1266" s="501">
        <v>794639</v>
      </c>
      <c r="F1266" s="489">
        <f t="shared" ref="F1266:G1266" si="1015">E1266*1.1</f>
        <v>874102.9</v>
      </c>
      <c r="G1266" s="489">
        <f t="shared" si="1015"/>
        <v>961513.19000000006</v>
      </c>
      <c r="H1266" s="132"/>
    </row>
    <row r="1267" spans="1:8" s="289" customFormat="1" outlineLevel="2">
      <c r="A1267" s="382"/>
      <c r="B1267" s="382"/>
      <c r="C1267" s="437">
        <v>2210303</v>
      </c>
      <c r="D1267" s="494" t="s">
        <v>26</v>
      </c>
      <c r="E1267" s="501">
        <v>703274</v>
      </c>
      <c r="F1267" s="489">
        <f t="shared" ref="F1267:G1267" si="1016">E1267*1.1</f>
        <v>773601.4</v>
      </c>
      <c r="G1267" s="489">
        <f t="shared" si="1016"/>
        <v>850961.54</v>
      </c>
      <c r="H1267" s="132"/>
    </row>
    <row r="1268" spans="1:8" s="289" customFormat="1" outlineLevel="2">
      <c r="A1268" s="382"/>
      <c r="B1268" s="382"/>
      <c r="C1268" s="443">
        <v>2210700</v>
      </c>
      <c r="D1268" s="492" t="s">
        <v>322</v>
      </c>
      <c r="E1268" s="499">
        <f>SUM(E1269:E1273)</f>
        <v>2513319.85</v>
      </c>
      <c r="F1268" s="489">
        <f t="shared" ref="F1268:G1268" si="1017">E1268*1.1</f>
        <v>2764651.8350000004</v>
      </c>
      <c r="G1268" s="489">
        <f t="shared" si="1017"/>
        <v>3041117.0185000007</v>
      </c>
      <c r="H1268" s="132"/>
    </row>
    <row r="1269" spans="1:8" s="289" customFormat="1" outlineLevel="2">
      <c r="A1269" s="382"/>
      <c r="B1269" s="382"/>
      <c r="C1269" s="437">
        <v>2210701</v>
      </c>
      <c r="D1269" s="494" t="s">
        <v>323</v>
      </c>
      <c r="E1269" s="501">
        <v>500000</v>
      </c>
      <c r="F1269" s="489">
        <f t="shared" ref="F1269:G1269" si="1018">E1269*1.1</f>
        <v>550000</v>
      </c>
      <c r="G1269" s="489">
        <f t="shared" si="1018"/>
        <v>605000</v>
      </c>
      <c r="H1269" s="132"/>
    </row>
    <row r="1270" spans="1:8" s="289" customFormat="1" outlineLevel="2">
      <c r="A1270" s="382"/>
      <c r="B1270" s="382"/>
      <c r="C1270" s="437">
        <v>2210703</v>
      </c>
      <c r="D1270" s="494" t="s">
        <v>324</v>
      </c>
      <c r="E1270" s="501">
        <v>206660</v>
      </c>
      <c r="F1270" s="489">
        <f t="shared" ref="F1270:G1270" si="1019">E1270*1.1</f>
        <v>227326.00000000003</v>
      </c>
      <c r="G1270" s="489">
        <f t="shared" si="1019"/>
        <v>250058.60000000006</v>
      </c>
      <c r="H1270" s="132"/>
    </row>
    <row r="1271" spans="1:8" s="289" customFormat="1" outlineLevel="2">
      <c r="A1271" s="382"/>
      <c r="B1271" s="382"/>
      <c r="C1271" s="437">
        <v>2210704</v>
      </c>
      <c r="D1271" s="494" t="s">
        <v>325</v>
      </c>
      <c r="E1271" s="501">
        <v>276287</v>
      </c>
      <c r="F1271" s="489">
        <f t="shared" ref="F1271:G1271" si="1020">E1271*1.1</f>
        <v>303915.7</v>
      </c>
      <c r="G1271" s="489">
        <f t="shared" si="1020"/>
        <v>334307.27</v>
      </c>
      <c r="H1271" s="132"/>
    </row>
    <row r="1272" spans="1:8" s="289" customFormat="1" outlineLevel="2">
      <c r="A1272" s="382"/>
      <c r="B1272" s="382"/>
      <c r="C1272" s="437">
        <v>2210710</v>
      </c>
      <c r="D1272" s="494" t="s">
        <v>38</v>
      </c>
      <c r="E1272" s="501">
        <v>330372.84999999998</v>
      </c>
      <c r="F1272" s="489">
        <f t="shared" ref="F1272:G1272" si="1021">E1272*1.1</f>
        <v>363410.13500000001</v>
      </c>
      <c r="G1272" s="489">
        <f t="shared" si="1021"/>
        <v>399751.14850000007</v>
      </c>
      <c r="H1272" s="132"/>
    </row>
    <row r="1273" spans="1:8" s="289" customFormat="1" outlineLevel="2">
      <c r="A1273" s="382"/>
      <c r="B1273" s="382"/>
      <c r="C1273" s="437">
        <v>2210711</v>
      </c>
      <c r="D1273" s="494" t="s">
        <v>332</v>
      </c>
      <c r="E1273" s="501">
        <v>1200000</v>
      </c>
      <c r="F1273" s="489">
        <f t="shared" ref="F1273:G1273" si="1022">E1273*1.1</f>
        <v>1320000</v>
      </c>
      <c r="G1273" s="489">
        <f t="shared" si="1022"/>
        <v>1452000.0000000002</v>
      </c>
      <c r="H1273" s="132"/>
    </row>
    <row r="1274" spans="1:8" s="289" customFormat="1" outlineLevel="2">
      <c r="A1274" s="382"/>
      <c r="B1274" s="382"/>
      <c r="C1274" s="443">
        <v>2210800</v>
      </c>
      <c r="D1274" s="492" t="s">
        <v>41</v>
      </c>
      <c r="E1274" s="499">
        <f>E1275</f>
        <v>445299</v>
      </c>
      <c r="F1274" s="489">
        <f t="shared" ref="F1274:G1274" si="1023">E1274*1.1</f>
        <v>489828.9</v>
      </c>
      <c r="G1274" s="489">
        <f t="shared" si="1023"/>
        <v>538811.79</v>
      </c>
      <c r="H1274" s="132"/>
    </row>
    <row r="1275" spans="1:8" s="289" customFormat="1" outlineLevel="2">
      <c r="A1275" s="382"/>
      <c r="B1275" s="382"/>
      <c r="C1275" s="437">
        <v>2210801</v>
      </c>
      <c r="D1275" s="494" t="s">
        <v>326</v>
      </c>
      <c r="E1275" s="501">
        <v>445299</v>
      </c>
      <c r="F1275" s="489">
        <f t="shared" ref="F1275:G1275" si="1024">E1275*1.1</f>
        <v>489828.9</v>
      </c>
      <c r="G1275" s="489">
        <f t="shared" si="1024"/>
        <v>538811.79</v>
      </c>
      <c r="H1275" s="132"/>
    </row>
    <row r="1276" spans="1:8" s="289" customFormat="1" outlineLevel="2">
      <c r="A1276" s="382"/>
      <c r="B1276" s="382"/>
      <c r="C1276" s="443">
        <v>2211000</v>
      </c>
      <c r="D1276" s="492" t="s">
        <v>173</v>
      </c>
      <c r="E1276" s="499">
        <f>E1277</f>
        <v>200000</v>
      </c>
      <c r="F1276" s="489">
        <f t="shared" ref="F1276:G1276" si="1025">E1276*1.1</f>
        <v>220000.00000000003</v>
      </c>
      <c r="G1276" s="489">
        <f t="shared" si="1025"/>
        <v>242000.00000000006</v>
      </c>
      <c r="H1276" s="132"/>
    </row>
    <row r="1277" spans="1:8" s="289" customFormat="1" outlineLevel="2">
      <c r="A1277" s="382"/>
      <c r="B1277" s="382"/>
      <c r="C1277" s="437">
        <v>2211011</v>
      </c>
      <c r="D1277" s="494" t="s">
        <v>302</v>
      </c>
      <c r="E1277" s="501">
        <v>200000</v>
      </c>
      <c r="F1277" s="489">
        <f t="shared" ref="F1277:G1277" si="1026">E1277*1.1</f>
        <v>220000.00000000003</v>
      </c>
      <c r="G1277" s="489">
        <f t="shared" si="1026"/>
        <v>242000.00000000006</v>
      </c>
      <c r="H1277" s="132"/>
    </row>
    <row r="1278" spans="1:8" s="289" customFormat="1" outlineLevel="2">
      <c r="A1278" s="382"/>
      <c r="B1278" s="382"/>
      <c r="C1278" s="443">
        <v>2211100</v>
      </c>
      <c r="D1278" s="492" t="s">
        <v>327</v>
      </c>
      <c r="E1278" s="499">
        <f>SUM(E1279:E1281)</f>
        <v>1081479</v>
      </c>
      <c r="F1278" s="489">
        <f t="shared" ref="F1278:G1278" si="1027">E1278*1.1</f>
        <v>1189626.9000000001</v>
      </c>
      <c r="G1278" s="489">
        <f t="shared" si="1027"/>
        <v>1308589.5900000003</v>
      </c>
      <c r="H1278" s="132"/>
    </row>
    <row r="1279" spans="1:8" s="289" customFormat="1" ht="30" outlineLevel="2">
      <c r="A1279" s="382"/>
      <c r="B1279" s="382"/>
      <c r="C1279" s="437">
        <v>2211101</v>
      </c>
      <c r="D1279" s="494" t="s">
        <v>328</v>
      </c>
      <c r="E1279" s="501">
        <v>418825</v>
      </c>
      <c r="F1279" s="489">
        <f t="shared" ref="F1279:G1279" si="1028">E1279*1.1</f>
        <v>460707.50000000006</v>
      </c>
      <c r="G1279" s="489">
        <f t="shared" si="1028"/>
        <v>506778.25000000012</v>
      </c>
      <c r="H1279" s="132"/>
    </row>
    <row r="1280" spans="1:8" s="289" customFormat="1" outlineLevel="2">
      <c r="A1280" s="382"/>
      <c r="B1280" s="382"/>
      <c r="C1280" s="437">
        <v>2211102</v>
      </c>
      <c r="D1280" s="494" t="s">
        <v>51</v>
      </c>
      <c r="E1280" s="501">
        <v>333526</v>
      </c>
      <c r="F1280" s="489">
        <f t="shared" ref="F1280:G1280" si="1029">E1280*1.1</f>
        <v>366878.60000000003</v>
      </c>
      <c r="G1280" s="489">
        <f t="shared" si="1029"/>
        <v>403566.46000000008</v>
      </c>
      <c r="H1280" s="132"/>
    </row>
    <row r="1281" spans="1:8" s="289" customFormat="1" outlineLevel="2">
      <c r="A1281" s="382"/>
      <c r="B1281" s="382"/>
      <c r="C1281" s="437">
        <v>2211103</v>
      </c>
      <c r="D1281" s="494" t="s">
        <v>52</v>
      </c>
      <c r="E1281" s="501">
        <v>329128</v>
      </c>
      <c r="F1281" s="489">
        <f t="shared" ref="F1281:G1281" si="1030">E1281*1.1</f>
        <v>362040.80000000005</v>
      </c>
      <c r="G1281" s="489">
        <f t="shared" si="1030"/>
        <v>398244.88000000006</v>
      </c>
      <c r="H1281" s="132"/>
    </row>
    <row r="1282" spans="1:8" s="289" customFormat="1" outlineLevel="2">
      <c r="A1282" s="382"/>
      <c r="B1282" s="382"/>
      <c r="C1282" s="443">
        <v>2211200</v>
      </c>
      <c r="D1282" s="492" t="s">
        <v>53</v>
      </c>
      <c r="E1282" s="499">
        <f>E1283</f>
        <v>2278844</v>
      </c>
      <c r="F1282" s="489">
        <f t="shared" ref="F1282:G1282" si="1031">E1282*1.1</f>
        <v>2506728.4000000004</v>
      </c>
      <c r="G1282" s="489">
        <f t="shared" si="1031"/>
        <v>2757401.2400000007</v>
      </c>
      <c r="H1282" s="132"/>
    </row>
    <row r="1283" spans="1:8" s="289" customFormat="1" outlineLevel="2">
      <c r="A1283" s="382"/>
      <c r="B1283" s="382"/>
      <c r="C1283" s="437">
        <v>2211201</v>
      </c>
      <c r="D1283" s="494" t="s">
        <v>91</v>
      </c>
      <c r="E1283" s="501">
        <v>2278844</v>
      </c>
      <c r="F1283" s="489">
        <f t="shared" ref="F1283:G1283" si="1032">E1283*1.1</f>
        <v>2506728.4000000004</v>
      </c>
      <c r="G1283" s="489">
        <f t="shared" si="1032"/>
        <v>2757401.2400000007</v>
      </c>
      <c r="H1283" s="132"/>
    </row>
    <row r="1284" spans="1:8" s="289" customFormat="1" outlineLevel="2">
      <c r="A1284" s="382"/>
      <c r="B1284" s="382"/>
      <c r="C1284" s="443">
        <v>2220100</v>
      </c>
      <c r="D1284" s="492" t="s">
        <v>225</v>
      </c>
      <c r="E1284" s="499">
        <f>E1285</f>
        <v>894576</v>
      </c>
      <c r="F1284" s="489">
        <f t="shared" ref="F1284:G1284" si="1033">E1284*1.1</f>
        <v>984033.60000000009</v>
      </c>
      <c r="G1284" s="489">
        <f t="shared" si="1033"/>
        <v>1082436.9600000002</v>
      </c>
      <c r="H1284" s="132"/>
    </row>
    <row r="1285" spans="1:8" s="289" customFormat="1" outlineLevel="2">
      <c r="A1285" s="382"/>
      <c r="B1285" s="382"/>
      <c r="C1285" s="437">
        <v>2220101</v>
      </c>
      <c r="D1285" s="494" t="s">
        <v>225</v>
      </c>
      <c r="E1285" s="501">
        <v>894576</v>
      </c>
      <c r="F1285" s="489">
        <f t="shared" ref="F1285:G1285" si="1034">E1285*1.1</f>
        <v>984033.60000000009</v>
      </c>
      <c r="G1285" s="489">
        <f t="shared" si="1034"/>
        <v>1082436.9600000002</v>
      </c>
      <c r="H1285" s="132"/>
    </row>
    <row r="1286" spans="1:8" s="289" customFormat="1" outlineLevel="2">
      <c r="A1286" s="382"/>
      <c r="B1286" s="382"/>
      <c r="C1286" s="443">
        <v>3110200</v>
      </c>
      <c r="D1286" s="700" t="s">
        <v>333</v>
      </c>
      <c r="E1286" s="499">
        <f>E1287</f>
        <v>500000</v>
      </c>
      <c r="F1286" s="489">
        <f t="shared" ref="F1286:G1286" si="1035">E1286*1.1</f>
        <v>550000</v>
      </c>
      <c r="G1286" s="489">
        <f t="shared" si="1035"/>
        <v>605000</v>
      </c>
      <c r="H1286" s="132"/>
    </row>
    <row r="1287" spans="1:8" s="289" customFormat="1" outlineLevel="2">
      <c r="A1287" s="382"/>
      <c r="B1287" s="382"/>
      <c r="C1287" s="437">
        <v>3110201</v>
      </c>
      <c r="D1287" s="494" t="s">
        <v>295</v>
      </c>
      <c r="E1287" s="501">
        <v>500000</v>
      </c>
      <c r="F1287" s="489">
        <f t="shared" ref="F1287:G1287" si="1036">E1287*1.1</f>
        <v>550000</v>
      </c>
      <c r="G1287" s="489">
        <f t="shared" si="1036"/>
        <v>605000</v>
      </c>
      <c r="H1287" s="132"/>
    </row>
    <row r="1288" spans="1:8" s="289" customFormat="1" outlineLevel="2">
      <c r="A1288" s="382"/>
      <c r="B1288" s="382"/>
      <c r="C1288" s="443">
        <v>3111000</v>
      </c>
      <c r="D1288" s="492" t="s">
        <v>65</v>
      </c>
      <c r="E1288" s="499">
        <f>E1289</f>
        <v>574632</v>
      </c>
      <c r="F1288" s="489">
        <f t="shared" ref="F1288:G1288" si="1037">E1288*1.1</f>
        <v>632095.20000000007</v>
      </c>
      <c r="G1288" s="489">
        <f t="shared" si="1037"/>
        <v>695304.72000000009</v>
      </c>
      <c r="H1288" s="132"/>
    </row>
    <row r="1289" spans="1:8" s="289" customFormat="1" outlineLevel="2">
      <c r="A1289" s="382"/>
      <c r="B1289" s="382"/>
      <c r="C1289" s="437">
        <v>3111002</v>
      </c>
      <c r="D1289" s="494" t="s">
        <v>67</v>
      </c>
      <c r="E1289" s="501">
        <v>574632</v>
      </c>
      <c r="F1289" s="489">
        <f t="shared" ref="F1289:G1289" si="1038">E1289*1.1</f>
        <v>632095.20000000007</v>
      </c>
      <c r="G1289" s="489">
        <f t="shared" si="1038"/>
        <v>695304.72000000009</v>
      </c>
      <c r="H1289" s="132"/>
    </row>
    <row r="1290" spans="1:8" s="289" customFormat="1" outlineLevel="1">
      <c r="A1290" s="382"/>
      <c r="B1290" s="382"/>
      <c r="C1290" s="438"/>
      <c r="D1290" s="490" t="s">
        <v>329</v>
      </c>
      <c r="E1290" s="500">
        <f>E1288+E1286+E1284+E1282+E1278+E1274+E1268+E1264+E1261+E1258+E1276</f>
        <v>11529640.85</v>
      </c>
      <c r="F1290" s="489">
        <f t="shared" ref="F1290:G1290" si="1039">E1290*1.1</f>
        <v>12682604.935000001</v>
      </c>
      <c r="G1290" s="489">
        <f t="shared" si="1039"/>
        <v>13950865.428500002</v>
      </c>
      <c r="H1290" s="132"/>
    </row>
    <row r="1291" spans="1:8" s="289" customFormat="1" outlineLevel="1">
      <c r="A1291" s="382"/>
      <c r="B1291" s="382"/>
      <c r="C1291" s="443"/>
      <c r="D1291" s="492"/>
      <c r="E1291" s="499"/>
      <c r="F1291" s="489">
        <f t="shared" ref="F1291:G1291" si="1040">E1291*1.1</f>
        <v>0</v>
      </c>
      <c r="G1291" s="489">
        <f t="shared" si="1040"/>
        <v>0</v>
      </c>
      <c r="H1291" s="132"/>
    </row>
    <row r="1292" spans="1:8" s="289" customFormat="1" outlineLevel="1">
      <c r="A1292" s="382"/>
      <c r="B1292" s="382"/>
      <c r="C1292" s="438" t="s">
        <v>334</v>
      </c>
      <c r="D1292" s="490"/>
      <c r="E1292" s="500"/>
      <c r="F1292" s="489">
        <f t="shared" ref="F1292:G1292" si="1041">E1292*1.1</f>
        <v>0</v>
      </c>
      <c r="G1292" s="489">
        <f t="shared" si="1041"/>
        <v>0</v>
      </c>
      <c r="H1292" s="132"/>
    </row>
    <row r="1293" spans="1:8" s="289" customFormat="1" outlineLevel="1">
      <c r="A1293" s="382"/>
      <c r="B1293" s="382"/>
      <c r="C1293" s="438" t="s">
        <v>335</v>
      </c>
      <c r="D1293" s="490"/>
      <c r="E1293" s="488"/>
      <c r="F1293" s="489">
        <f t="shared" ref="F1293:G1293" si="1042">E1293*1.1</f>
        <v>0</v>
      </c>
      <c r="G1293" s="489">
        <f t="shared" si="1042"/>
        <v>0</v>
      </c>
      <c r="H1293" s="132"/>
    </row>
    <row r="1294" spans="1:8" s="289" customFormat="1" outlineLevel="3">
      <c r="A1294" s="382"/>
      <c r="B1294" s="382"/>
      <c r="C1294" s="443">
        <v>2210100</v>
      </c>
      <c r="D1294" s="492" t="s">
        <v>336</v>
      </c>
      <c r="E1294" s="499">
        <f>E1295+E1296</f>
        <v>184200</v>
      </c>
      <c r="F1294" s="489">
        <f t="shared" ref="F1294:G1294" si="1043">E1294*1.1</f>
        <v>202620.00000000003</v>
      </c>
      <c r="G1294" s="489">
        <f t="shared" si="1043"/>
        <v>222882.00000000006</v>
      </c>
      <c r="H1294" s="132"/>
    </row>
    <row r="1295" spans="1:8" s="289" customFormat="1" outlineLevel="3">
      <c r="A1295" s="382"/>
      <c r="B1295" s="382"/>
      <c r="C1295" s="437">
        <v>2210101</v>
      </c>
      <c r="D1295" s="494" t="s">
        <v>17</v>
      </c>
      <c r="E1295" s="501">
        <v>138520</v>
      </c>
      <c r="F1295" s="489">
        <f t="shared" ref="F1295:G1295" si="1044">E1295*1.1</f>
        <v>152372</v>
      </c>
      <c r="G1295" s="489">
        <f t="shared" si="1044"/>
        <v>167609.20000000001</v>
      </c>
      <c r="H1295" s="132"/>
    </row>
    <row r="1296" spans="1:8" s="289" customFormat="1" outlineLevel="3">
      <c r="A1296" s="382"/>
      <c r="B1296" s="382"/>
      <c r="C1296" s="437">
        <v>2210102</v>
      </c>
      <c r="D1296" s="494" t="s">
        <v>18</v>
      </c>
      <c r="E1296" s="501">
        <v>45680</v>
      </c>
      <c r="F1296" s="489">
        <f t="shared" ref="F1296:G1296" si="1045">E1296*1.1</f>
        <v>50248.000000000007</v>
      </c>
      <c r="G1296" s="489">
        <f t="shared" si="1045"/>
        <v>55272.80000000001</v>
      </c>
      <c r="H1296" s="132"/>
    </row>
    <row r="1297" spans="1:8" s="289" customFormat="1" outlineLevel="3">
      <c r="A1297" s="382"/>
      <c r="B1297" s="382"/>
      <c r="C1297" s="443">
        <v>2210200</v>
      </c>
      <c r="D1297" s="492" t="s">
        <v>337</v>
      </c>
      <c r="E1297" s="499">
        <f>E1298+E1299</f>
        <v>250000</v>
      </c>
      <c r="F1297" s="489">
        <f t="shared" ref="F1297:G1297" si="1046">E1297*1.1</f>
        <v>275000</v>
      </c>
      <c r="G1297" s="489">
        <f t="shared" si="1046"/>
        <v>302500</v>
      </c>
      <c r="H1297" s="132"/>
    </row>
    <row r="1298" spans="1:8" s="289" customFormat="1" outlineLevel="3">
      <c r="A1298" s="382"/>
      <c r="B1298" s="382"/>
      <c r="C1298" s="437">
        <v>2210201</v>
      </c>
      <c r="D1298" s="494" t="s">
        <v>20</v>
      </c>
      <c r="E1298" s="501">
        <v>85000</v>
      </c>
      <c r="F1298" s="489">
        <f t="shared" ref="F1298:G1298" si="1047">E1298*1.1</f>
        <v>93500.000000000015</v>
      </c>
      <c r="G1298" s="489">
        <f t="shared" si="1047"/>
        <v>102850.00000000003</v>
      </c>
      <c r="H1298" s="132"/>
    </row>
    <row r="1299" spans="1:8" s="289" customFormat="1" outlineLevel="3">
      <c r="A1299" s="382"/>
      <c r="B1299" s="382"/>
      <c r="C1299" s="437">
        <v>2210202</v>
      </c>
      <c r="D1299" s="494" t="s">
        <v>21</v>
      </c>
      <c r="E1299" s="501">
        <v>165000</v>
      </c>
      <c r="F1299" s="489">
        <f t="shared" ref="F1299:G1299" si="1048">E1299*1.1</f>
        <v>181500.00000000003</v>
      </c>
      <c r="G1299" s="489">
        <f t="shared" si="1048"/>
        <v>199650.00000000006</v>
      </c>
      <c r="H1299" s="132"/>
    </row>
    <row r="1300" spans="1:8" s="289" customFormat="1" outlineLevel="3">
      <c r="A1300" s="382"/>
      <c r="B1300" s="382"/>
      <c r="C1300" s="443">
        <v>2210300</v>
      </c>
      <c r="D1300" s="492" t="s">
        <v>318</v>
      </c>
      <c r="E1300" s="499">
        <f>E1301+E1302+E1303</f>
        <v>1273526</v>
      </c>
      <c r="F1300" s="489">
        <f t="shared" ref="F1300:G1300" si="1049">E1300*1.1</f>
        <v>1400878.6</v>
      </c>
      <c r="G1300" s="489">
        <f t="shared" si="1049"/>
        <v>1540966.4600000002</v>
      </c>
      <c r="H1300" s="132"/>
    </row>
    <row r="1301" spans="1:8" s="289" customFormat="1" outlineLevel="3">
      <c r="A1301" s="382"/>
      <c r="B1301" s="382"/>
      <c r="C1301" s="437">
        <v>2210301</v>
      </c>
      <c r="D1301" s="494" t="s">
        <v>24</v>
      </c>
      <c r="E1301" s="501">
        <v>463828</v>
      </c>
      <c r="F1301" s="489">
        <f t="shared" ref="F1301:G1301" si="1050">E1301*1.1</f>
        <v>510210.80000000005</v>
      </c>
      <c r="G1301" s="489">
        <f t="shared" si="1050"/>
        <v>561231.88000000012</v>
      </c>
      <c r="H1301" s="132"/>
    </row>
    <row r="1302" spans="1:8" s="289" customFormat="1" outlineLevel="3">
      <c r="A1302" s="382"/>
      <c r="B1302" s="382"/>
      <c r="C1302" s="437">
        <v>2210302</v>
      </c>
      <c r="D1302" s="494" t="s">
        <v>320</v>
      </c>
      <c r="E1302" s="501">
        <v>306440</v>
      </c>
      <c r="F1302" s="489">
        <f t="shared" ref="F1302:G1302" si="1051">E1302*1.1</f>
        <v>337084</v>
      </c>
      <c r="G1302" s="489">
        <f t="shared" si="1051"/>
        <v>370792.4</v>
      </c>
      <c r="H1302" s="132"/>
    </row>
    <row r="1303" spans="1:8" s="289" customFormat="1" outlineLevel="3">
      <c r="A1303" s="382"/>
      <c r="B1303" s="382"/>
      <c r="C1303" s="437">
        <v>2210303</v>
      </c>
      <c r="D1303" s="494" t="s">
        <v>26</v>
      </c>
      <c r="E1303" s="501">
        <v>503258</v>
      </c>
      <c r="F1303" s="489">
        <f t="shared" ref="F1303:G1303" si="1052">E1303*1.1</f>
        <v>553583.80000000005</v>
      </c>
      <c r="G1303" s="489">
        <f t="shared" si="1052"/>
        <v>608942.18000000005</v>
      </c>
      <c r="H1303" s="132"/>
    </row>
    <row r="1304" spans="1:8" s="289" customFormat="1" outlineLevel="3">
      <c r="A1304" s="382"/>
      <c r="B1304" s="382"/>
      <c r="C1304" s="443">
        <v>2210500</v>
      </c>
      <c r="D1304" s="492" t="s">
        <v>30</v>
      </c>
      <c r="E1304" s="499">
        <f>E1305</f>
        <v>126269</v>
      </c>
      <c r="F1304" s="489">
        <f t="shared" ref="F1304:G1304" si="1053">E1304*1.1</f>
        <v>138895.90000000002</v>
      </c>
      <c r="G1304" s="489">
        <f t="shared" si="1053"/>
        <v>152785.49000000005</v>
      </c>
      <c r="H1304" s="132"/>
    </row>
    <row r="1305" spans="1:8" s="289" customFormat="1" outlineLevel="3">
      <c r="A1305" s="382"/>
      <c r="B1305" s="382"/>
      <c r="C1305" s="437">
        <v>2210502</v>
      </c>
      <c r="D1305" s="494" t="s">
        <v>162</v>
      </c>
      <c r="E1305" s="501">
        <v>126269</v>
      </c>
      <c r="F1305" s="489">
        <f t="shared" ref="F1305:G1305" si="1054">E1305*1.1</f>
        <v>138895.90000000002</v>
      </c>
      <c r="G1305" s="489">
        <f t="shared" si="1054"/>
        <v>152785.49000000005</v>
      </c>
      <c r="H1305" s="132"/>
    </row>
    <row r="1306" spans="1:8" s="289" customFormat="1" outlineLevel="3">
      <c r="A1306" s="382"/>
      <c r="B1306" s="382"/>
      <c r="C1306" s="443">
        <v>2210700</v>
      </c>
      <c r="D1306" s="492" t="s">
        <v>322</v>
      </c>
      <c r="E1306" s="499">
        <f>E1307+E1308+E1309</f>
        <v>1622990.65</v>
      </c>
      <c r="F1306" s="489">
        <f t="shared" ref="F1306:G1306" si="1055">E1306*1.1</f>
        <v>1785289.7150000001</v>
      </c>
      <c r="G1306" s="489">
        <f t="shared" si="1055"/>
        <v>1963818.6865000003</v>
      </c>
      <c r="H1306" s="132"/>
    </row>
    <row r="1307" spans="1:8" s="289" customFormat="1" outlineLevel="3">
      <c r="A1307" s="382"/>
      <c r="B1307" s="382"/>
      <c r="C1307" s="437">
        <v>2210701</v>
      </c>
      <c r="D1307" s="494" t="s">
        <v>338</v>
      </c>
      <c r="E1307" s="501">
        <v>519490.65</v>
      </c>
      <c r="F1307" s="489">
        <f t="shared" ref="F1307:G1307" si="1056">E1307*1.1</f>
        <v>571439.71500000008</v>
      </c>
      <c r="G1307" s="489">
        <f t="shared" si="1056"/>
        <v>628583.68650000019</v>
      </c>
      <c r="H1307" s="132"/>
    </row>
    <row r="1308" spans="1:8" s="289" customFormat="1" outlineLevel="3">
      <c r="A1308" s="382"/>
      <c r="B1308" s="382"/>
      <c r="C1308" s="437">
        <v>2210704</v>
      </c>
      <c r="D1308" s="494" t="s">
        <v>37</v>
      </c>
      <c r="E1308" s="501">
        <v>303500</v>
      </c>
      <c r="F1308" s="489">
        <f t="shared" ref="F1308:G1308" si="1057">E1308*1.1</f>
        <v>333850</v>
      </c>
      <c r="G1308" s="489">
        <f t="shared" si="1057"/>
        <v>367235.00000000006</v>
      </c>
      <c r="H1308" s="132"/>
    </row>
    <row r="1309" spans="1:8" s="289" customFormat="1" outlineLevel="3">
      <c r="A1309" s="382"/>
      <c r="B1309" s="382"/>
      <c r="C1309" s="437">
        <v>2210710</v>
      </c>
      <c r="D1309" s="494" t="s">
        <v>339</v>
      </c>
      <c r="E1309" s="501">
        <v>800000</v>
      </c>
      <c r="F1309" s="489">
        <f t="shared" ref="F1309:G1309" si="1058">E1309*1.1</f>
        <v>880000.00000000012</v>
      </c>
      <c r="G1309" s="489">
        <f t="shared" si="1058"/>
        <v>968000.00000000023</v>
      </c>
      <c r="H1309" s="132"/>
    </row>
    <row r="1310" spans="1:8" s="289" customFormat="1" outlineLevel="3">
      <c r="A1310" s="382"/>
      <c r="B1310" s="382"/>
      <c r="C1310" s="443">
        <v>2211100</v>
      </c>
      <c r="D1310" s="492" t="s">
        <v>49</v>
      </c>
      <c r="E1310" s="499">
        <f>E1311+E1312+E1313</f>
        <v>1499800</v>
      </c>
      <c r="F1310" s="489">
        <f t="shared" ref="F1310:G1310" si="1059">E1310*1.1</f>
        <v>1649780.0000000002</v>
      </c>
      <c r="G1310" s="489">
        <f t="shared" si="1059"/>
        <v>1814758.0000000005</v>
      </c>
      <c r="H1310" s="132"/>
    </row>
    <row r="1311" spans="1:8" s="289" customFormat="1" ht="30" outlineLevel="3">
      <c r="A1311" s="382"/>
      <c r="B1311" s="382"/>
      <c r="C1311" s="437">
        <v>2211101</v>
      </c>
      <c r="D1311" s="494" t="s">
        <v>50</v>
      </c>
      <c r="E1311" s="501">
        <v>500000</v>
      </c>
      <c r="F1311" s="489">
        <f t="shared" ref="F1311:G1311" si="1060">E1311*1.1</f>
        <v>550000</v>
      </c>
      <c r="G1311" s="489">
        <f t="shared" si="1060"/>
        <v>605000</v>
      </c>
      <c r="H1311" s="132"/>
    </row>
    <row r="1312" spans="1:8" s="289" customFormat="1" outlineLevel="3">
      <c r="A1312" s="382"/>
      <c r="B1312" s="382"/>
      <c r="C1312" s="437">
        <v>2211102</v>
      </c>
      <c r="D1312" s="494" t="s">
        <v>51</v>
      </c>
      <c r="E1312" s="501">
        <v>807000</v>
      </c>
      <c r="F1312" s="489">
        <f t="shared" ref="F1312:G1312" si="1061">E1312*1.1</f>
        <v>887700.00000000012</v>
      </c>
      <c r="G1312" s="489">
        <f t="shared" si="1061"/>
        <v>976470.00000000023</v>
      </c>
      <c r="H1312" s="132"/>
    </row>
    <row r="1313" spans="1:8" s="289" customFormat="1" outlineLevel="3">
      <c r="A1313" s="382"/>
      <c r="B1313" s="382"/>
      <c r="C1313" s="437">
        <v>2211103</v>
      </c>
      <c r="D1313" s="494" t="s">
        <v>52</v>
      </c>
      <c r="E1313" s="501">
        <v>192800</v>
      </c>
      <c r="F1313" s="489">
        <f t="shared" ref="F1313:G1313" si="1062">E1313*1.1</f>
        <v>212080.00000000003</v>
      </c>
      <c r="G1313" s="489">
        <f t="shared" si="1062"/>
        <v>233288.00000000006</v>
      </c>
      <c r="H1313" s="132"/>
    </row>
    <row r="1314" spans="1:8" s="289" customFormat="1" outlineLevel="3">
      <c r="A1314" s="382"/>
      <c r="B1314" s="382"/>
      <c r="C1314" s="443">
        <v>2211200</v>
      </c>
      <c r="D1314" s="492" t="s">
        <v>53</v>
      </c>
      <c r="E1314" s="499">
        <f>E1315</f>
        <v>4000000</v>
      </c>
      <c r="F1314" s="489">
        <f t="shared" ref="F1314:G1314" si="1063">E1314*1.1</f>
        <v>4400000</v>
      </c>
      <c r="G1314" s="489">
        <f t="shared" si="1063"/>
        <v>4840000</v>
      </c>
      <c r="H1314" s="132"/>
    </row>
    <row r="1315" spans="1:8" s="289" customFormat="1" outlineLevel="3">
      <c r="A1315" s="382"/>
      <c r="B1315" s="382"/>
      <c r="C1315" s="437">
        <v>2211201</v>
      </c>
      <c r="D1315" s="494" t="s">
        <v>91</v>
      </c>
      <c r="E1315" s="501">
        <v>4000000</v>
      </c>
      <c r="F1315" s="489">
        <f t="shared" ref="F1315:G1315" si="1064">E1315*1.1</f>
        <v>4400000</v>
      </c>
      <c r="G1315" s="489">
        <f t="shared" si="1064"/>
        <v>4840000</v>
      </c>
      <c r="H1315" s="132"/>
    </row>
    <row r="1316" spans="1:8" s="289" customFormat="1" outlineLevel="3">
      <c r="A1316" s="382"/>
      <c r="B1316" s="382"/>
      <c r="C1316" s="443">
        <v>2220100</v>
      </c>
      <c r="D1316" s="492" t="s">
        <v>340</v>
      </c>
      <c r="E1316" s="499">
        <f>E1317</f>
        <v>1230816</v>
      </c>
      <c r="F1316" s="489">
        <f t="shared" ref="F1316:G1316" si="1065">E1316*1.1</f>
        <v>1353897.6</v>
      </c>
      <c r="G1316" s="489">
        <f t="shared" si="1065"/>
        <v>1489287.3600000003</v>
      </c>
      <c r="H1316" s="132"/>
    </row>
    <row r="1317" spans="1:8" s="289" customFormat="1" outlineLevel="3">
      <c r="A1317" s="382"/>
      <c r="B1317" s="382"/>
      <c r="C1317" s="437">
        <v>2220101</v>
      </c>
      <c r="D1317" s="494" t="s">
        <v>225</v>
      </c>
      <c r="E1317" s="501">
        <v>1230816</v>
      </c>
      <c r="F1317" s="489">
        <f t="shared" ref="F1317:G1317" si="1066">E1317*1.1</f>
        <v>1353897.6</v>
      </c>
      <c r="G1317" s="489">
        <f t="shared" si="1066"/>
        <v>1489287.3600000003</v>
      </c>
      <c r="H1317" s="132"/>
    </row>
    <row r="1318" spans="1:8" s="289" customFormat="1" outlineLevel="3">
      <c r="A1318" s="382"/>
      <c r="B1318" s="382"/>
      <c r="C1318" s="443">
        <v>2220200</v>
      </c>
      <c r="D1318" s="492" t="s">
        <v>179</v>
      </c>
      <c r="E1318" s="499">
        <f>E1319+E1320+E1321+E1322</f>
        <v>3214867.2800000012</v>
      </c>
      <c r="F1318" s="489">
        <f t="shared" ref="F1318:G1318" si="1067">E1318*1.1</f>
        <v>3536354.0080000018</v>
      </c>
      <c r="G1318" s="489">
        <f t="shared" si="1067"/>
        <v>3889989.4088000022</v>
      </c>
      <c r="H1318" s="132"/>
    </row>
    <row r="1319" spans="1:8" s="289" customFormat="1" outlineLevel="3">
      <c r="A1319" s="382"/>
      <c r="B1319" s="382"/>
      <c r="C1319" s="437">
        <v>2220201</v>
      </c>
      <c r="D1319" s="494" t="s">
        <v>341</v>
      </c>
      <c r="E1319" s="501">
        <v>1999267.2800000012</v>
      </c>
      <c r="F1319" s="489">
        <f t="shared" ref="F1319:G1319" si="1068">E1319*1.1</f>
        <v>2199194.0080000013</v>
      </c>
      <c r="G1319" s="489">
        <f t="shared" si="1068"/>
        <v>2419113.4088000017</v>
      </c>
      <c r="H1319" s="132"/>
    </row>
    <row r="1320" spans="1:8" s="289" customFormat="1" outlineLevel="3">
      <c r="A1320" s="382"/>
      <c r="B1320" s="382"/>
      <c r="C1320" s="437">
        <v>2220202</v>
      </c>
      <c r="D1320" s="494" t="s">
        <v>63</v>
      </c>
      <c r="E1320" s="501">
        <v>500000</v>
      </c>
      <c r="F1320" s="489">
        <f t="shared" ref="F1320:G1320" si="1069">E1320*1.1</f>
        <v>550000</v>
      </c>
      <c r="G1320" s="489">
        <f t="shared" si="1069"/>
        <v>605000</v>
      </c>
      <c r="H1320" s="132"/>
    </row>
    <row r="1321" spans="1:8" s="289" customFormat="1" outlineLevel="3">
      <c r="A1321" s="382"/>
      <c r="B1321" s="382"/>
      <c r="C1321" s="437">
        <v>2220205</v>
      </c>
      <c r="D1321" s="494" t="s">
        <v>180</v>
      </c>
      <c r="E1321" s="501">
        <v>385600</v>
      </c>
      <c r="F1321" s="489">
        <f t="shared" ref="F1321:G1321" si="1070">E1321*1.1</f>
        <v>424160.00000000006</v>
      </c>
      <c r="G1321" s="489">
        <f t="shared" si="1070"/>
        <v>466576.00000000012</v>
      </c>
      <c r="H1321" s="132"/>
    </row>
    <row r="1322" spans="1:8" s="289" customFormat="1" outlineLevel="3">
      <c r="A1322" s="382"/>
      <c r="B1322" s="382"/>
      <c r="C1322" s="437">
        <v>2220210</v>
      </c>
      <c r="D1322" s="494" t="s">
        <v>181</v>
      </c>
      <c r="E1322" s="501">
        <v>330000</v>
      </c>
      <c r="F1322" s="489">
        <f t="shared" ref="F1322:G1322" si="1071">E1322*1.1</f>
        <v>363000.00000000006</v>
      </c>
      <c r="G1322" s="489">
        <f t="shared" si="1071"/>
        <v>399300.00000000012</v>
      </c>
      <c r="H1322" s="132"/>
    </row>
    <row r="1323" spans="1:8" s="289" customFormat="1" outlineLevel="3">
      <c r="A1323" s="382"/>
      <c r="B1323" s="382"/>
      <c r="C1323" s="443">
        <v>3110300</v>
      </c>
      <c r="D1323" s="492" t="s">
        <v>342</v>
      </c>
      <c r="E1323" s="499">
        <f>E1324</f>
        <v>1569260</v>
      </c>
      <c r="F1323" s="489">
        <f t="shared" ref="F1323:G1323" si="1072">E1323*1.1</f>
        <v>1726186.0000000002</v>
      </c>
      <c r="G1323" s="489">
        <f t="shared" si="1072"/>
        <v>1898804.6000000003</v>
      </c>
      <c r="H1323" s="132"/>
    </row>
    <row r="1324" spans="1:8" s="289" customFormat="1" outlineLevel="3">
      <c r="A1324" s="382"/>
      <c r="B1324" s="382"/>
      <c r="C1324" s="437">
        <v>3110302</v>
      </c>
      <c r="D1324" s="494" t="s">
        <v>295</v>
      </c>
      <c r="E1324" s="501">
        <v>1569260</v>
      </c>
      <c r="F1324" s="489">
        <f t="shared" ref="F1324:G1324" si="1073">E1324*1.1</f>
        <v>1726186.0000000002</v>
      </c>
      <c r="G1324" s="489">
        <f t="shared" si="1073"/>
        <v>1898804.6000000003</v>
      </c>
      <c r="H1324" s="132"/>
    </row>
    <row r="1325" spans="1:8" s="289" customFormat="1" outlineLevel="3">
      <c r="A1325" s="382"/>
      <c r="B1325" s="382"/>
      <c r="C1325" s="443">
        <v>3111000</v>
      </c>
      <c r="D1325" s="492" t="s">
        <v>65</v>
      </c>
      <c r="E1325" s="499">
        <f>E1326</f>
        <v>600350</v>
      </c>
      <c r="F1325" s="489">
        <f t="shared" ref="F1325:G1325" si="1074">E1325*1.1</f>
        <v>660385</v>
      </c>
      <c r="G1325" s="489">
        <f t="shared" si="1074"/>
        <v>726423.50000000012</v>
      </c>
      <c r="H1325" s="132"/>
    </row>
    <row r="1326" spans="1:8" s="289" customFormat="1" outlineLevel="3">
      <c r="A1326" s="382"/>
      <c r="B1326" s="382"/>
      <c r="C1326" s="437">
        <v>3111002</v>
      </c>
      <c r="D1326" s="494" t="s">
        <v>67</v>
      </c>
      <c r="E1326" s="501">
        <v>600350</v>
      </c>
      <c r="F1326" s="489">
        <f t="shared" ref="F1326:G1326" si="1075">E1326*1.1</f>
        <v>660385</v>
      </c>
      <c r="G1326" s="489">
        <f t="shared" si="1075"/>
        <v>726423.50000000012</v>
      </c>
      <c r="H1326" s="132"/>
    </row>
    <row r="1327" spans="1:8" s="289" customFormat="1" ht="30" outlineLevel="3">
      <c r="A1327" s="382"/>
      <c r="B1327" s="382"/>
      <c r="C1327" s="443">
        <v>3111400</v>
      </c>
      <c r="D1327" s="492" t="s">
        <v>343</v>
      </c>
      <c r="E1327" s="499">
        <f>E1328</f>
        <v>1000000</v>
      </c>
      <c r="F1327" s="489">
        <f t="shared" ref="F1327:G1327" si="1076">E1327*1.1</f>
        <v>1100000</v>
      </c>
      <c r="G1327" s="489">
        <f t="shared" si="1076"/>
        <v>1210000</v>
      </c>
      <c r="H1327" s="132"/>
    </row>
    <row r="1328" spans="1:8" s="289" customFormat="1" outlineLevel="3">
      <c r="A1328" s="382"/>
      <c r="B1328" s="382"/>
      <c r="C1328" s="437">
        <v>3111401</v>
      </c>
      <c r="D1328" s="494" t="s">
        <v>344</v>
      </c>
      <c r="E1328" s="501">
        <v>1000000</v>
      </c>
      <c r="F1328" s="489">
        <f t="shared" ref="F1328:G1328" si="1077">E1328*1.1</f>
        <v>1100000</v>
      </c>
      <c r="G1328" s="489">
        <f t="shared" si="1077"/>
        <v>1210000</v>
      </c>
      <c r="H1328" s="132"/>
    </row>
    <row r="1329" spans="1:8" s="289" customFormat="1" outlineLevel="2">
      <c r="A1329" s="382"/>
      <c r="B1329" s="382"/>
      <c r="C1329" s="438"/>
      <c r="D1329" s="490" t="s">
        <v>345</v>
      </c>
      <c r="E1329" s="500">
        <f>E1327+E1325+E1323+E1318+E1316+E1314+E1310+E1306+E1304+E1300+E1297+E1294</f>
        <v>16572078.930000002</v>
      </c>
      <c r="F1329" s="489">
        <f t="shared" ref="F1329:G1329" si="1078">E1329*1.1</f>
        <v>18229286.823000003</v>
      </c>
      <c r="G1329" s="489">
        <f t="shared" si="1078"/>
        <v>20052215.505300004</v>
      </c>
      <c r="H1329" s="132"/>
    </row>
    <row r="1330" spans="1:8" s="289" customFormat="1" outlineLevel="2">
      <c r="A1330" s="382"/>
      <c r="B1330" s="382"/>
      <c r="C1330" s="443"/>
      <c r="D1330" s="492"/>
      <c r="E1330" s="499"/>
      <c r="F1330" s="489">
        <f t="shared" ref="F1330:G1330" si="1079">E1330*1.1</f>
        <v>0</v>
      </c>
      <c r="G1330" s="489">
        <f t="shared" si="1079"/>
        <v>0</v>
      </c>
      <c r="H1330" s="132"/>
    </row>
    <row r="1331" spans="1:8" s="289" customFormat="1" outlineLevel="2">
      <c r="A1331" s="382"/>
      <c r="B1331" s="382"/>
      <c r="C1331" s="443"/>
      <c r="D1331" s="492" t="s">
        <v>184</v>
      </c>
      <c r="E1331" s="499"/>
      <c r="F1331" s="489">
        <f t="shared" ref="F1331:G1331" si="1080">E1331*1.1</f>
        <v>0</v>
      </c>
      <c r="G1331" s="489">
        <f t="shared" si="1080"/>
        <v>0</v>
      </c>
      <c r="H1331" s="132"/>
    </row>
    <row r="1332" spans="1:8" s="289" customFormat="1" ht="30" outlineLevel="3">
      <c r="A1332" s="382"/>
      <c r="B1332" s="382"/>
      <c r="C1332" s="443">
        <v>3110500</v>
      </c>
      <c r="D1332" s="492" t="s">
        <v>346</v>
      </c>
      <c r="E1332" s="499">
        <f>E1333</f>
        <v>297807045</v>
      </c>
      <c r="F1332" s="489">
        <f t="shared" ref="F1332:G1332" si="1081">E1332*1.1</f>
        <v>327587749.5</v>
      </c>
      <c r="G1332" s="489">
        <f t="shared" si="1081"/>
        <v>360346524.45000005</v>
      </c>
      <c r="H1332" s="132"/>
    </row>
    <row r="1333" spans="1:8" ht="30" outlineLevel="3">
      <c r="A1333" s="324"/>
      <c r="B1333" s="324"/>
      <c r="C1333" s="437">
        <v>3110504</v>
      </c>
      <c r="D1333" s="494" t="s">
        <v>347</v>
      </c>
      <c r="E1333" s="501">
        <v>297807045</v>
      </c>
      <c r="F1333" s="489">
        <f t="shared" ref="F1333:G1333" si="1082">E1333*1.1</f>
        <v>327587749.5</v>
      </c>
      <c r="G1333" s="489">
        <f t="shared" si="1082"/>
        <v>360346524.45000005</v>
      </c>
    </row>
    <row r="1334" spans="1:8" s="301" customFormat="1" outlineLevel="3">
      <c r="A1334" s="328"/>
      <c r="B1334" s="328"/>
      <c r="C1334" s="443">
        <v>2640400</v>
      </c>
      <c r="D1334" s="492" t="s">
        <v>528</v>
      </c>
      <c r="E1334" s="499">
        <f>E1335</f>
        <v>228000000</v>
      </c>
      <c r="F1334" s="799"/>
      <c r="G1334" s="799"/>
      <c r="H1334" s="132"/>
    </row>
    <row r="1335" spans="1:8" outlineLevel="3">
      <c r="A1335" s="324"/>
      <c r="B1335" s="324"/>
      <c r="C1335" s="437">
        <v>2640499</v>
      </c>
      <c r="D1335" s="494" t="s">
        <v>1778</v>
      </c>
      <c r="E1335" s="501">
        <v>228000000</v>
      </c>
      <c r="F1335" s="489"/>
      <c r="G1335" s="489"/>
    </row>
    <row r="1336" spans="1:8" s="289" customFormat="1" outlineLevel="2">
      <c r="A1336" s="382"/>
      <c r="B1336" s="382"/>
      <c r="C1336" s="438"/>
      <c r="D1336" s="490" t="s">
        <v>348</v>
      </c>
      <c r="E1336" s="500">
        <f>E1332+E1334</f>
        <v>525807045</v>
      </c>
      <c r="F1336" s="489">
        <f t="shared" ref="F1336:G1336" si="1083">E1336*1.1</f>
        <v>578387749.5</v>
      </c>
      <c r="G1336" s="489">
        <f t="shared" si="1083"/>
        <v>636226524.45000005</v>
      </c>
      <c r="H1336" s="132"/>
    </row>
    <row r="1337" spans="1:8" s="289" customFormat="1" outlineLevel="1">
      <c r="A1337" s="382"/>
      <c r="B1337" s="382"/>
      <c r="C1337" s="438"/>
      <c r="D1337" s="490" t="s">
        <v>80</v>
      </c>
      <c r="E1337" s="500">
        <f>E1336+E1329</f>
        <v>542379123.92999995</v>
      </c>
      <c r="F1337" s="489">
        <f t="shared" ref="F1337:G1337" si="1084">E1337*1.1</f>
        <v>596617036.32299995</v>
      </c>
      <c r="G1337" s="489">
        <f t="shared" si="1084"/>
        <v>656278739.95529997</v>
      </c>
      <c r="H1337" s="132"/>
    </row>
    <row r="1338" spans="1:8" s="289" customFormat="1" outlineLevel="1">
      <c r="A1338" s="382"/>
      <c r="B1338" s="382"/>
      <c r="C1338" s="443"/>
      <c r="D1338" s="492"/>
      <c r="E1338" s="499"/>
      <c r="F1338" s="489">
        <f t="shared" ref="F1338:G1338" si="1085">E1338*1.1</f>
        <v>0</v>
      </c>
      <c r="G1338" s="489">
        <f t="shared" si="1085"/>
        <v>0</v>
      </c>
      <c r="H1338" s="132"/>
    </row>
    <row r="1339" spans="1:8" s="289" customFormat="1" outlineLevel="1">
      <c r="A1339" s="382"/>
      <c r="B1339" s="382"/>
      <c r="C1339" s="438" t="s">
        <v>349</v>
      </c>
      <c r="D1339" s="490"/>
      <c r="E1339" s="500"/>
      <c r="F1339" s="489">
        <f t="shared" ref="F1339:G1339" si="1086">E1339*1.1</f>
        <v>0</v>
      </c>
      <c r="G1339" s="489">
        <f t="shared" si="1086"/>
        <v>0</v>
      </c>
      <c r="H1339" s="132"/>
    </row>
    <row r="1340" spans="1:8" s="289" customFormat="1" outlineLevel="1">
      <c r="A1340" s="382"/>
      <c r="B1340" s="382"/>
      <c r="C1340" s="438" t="s">
        <v>350</v>
      </c>
      <c r="D1340" s="490"/>
      <c r="E1340" s="488"/>
      <c r="F1340" s="489">
        <f t="shared" ref="F1340:G1340" si="1087">E1340*1.1</f>
        <v>0</v>
      </c>
      <c r="G1340" s="489">
        <f t="shared" si="1087"/>
        <v>0</v>
      </c>
      <c r="H1340" s="132"/>
    </row>
    <row r="1341" spans="1:8" s="289" customFormat="1" outlineLevel="3">
      <c r="A1341" s="382"/>
      <c r="B1341" s="382"/>
      <c r="C1341" s="443">
        <v>2210100</v>
      </c>
      <c r="D1341" s="492" t="s">
        <v>336</v>
      </c>
      <c r="E1341" s="499">
        <f>E1342+E1343</f>
        <v>822884</v>
      </c>
      <c r="F1341" s="489">
        <f t="shared" ref="F1341:G1341" si="1088">E1341*1.1</f>
        <v>905172.4</v>
      </c>
      <c r="G1341" s="489">
        <f t="shared" si="1088"/>
        <v>995689.64000000013</v>
      </c>
      <c r="H1341" s="132"/>
    </row>
    <row r="1342" spans="1:8" s="289" customFormat="1" outlineLevel="3">
      <c r="A1342" s="382"/>
      <c r="B1342" s="382"/>
      <c r="C1342" s="437">
        <v>2210101</v>
      </c>
      <c r="D1342" s="494" t="s">
        <v>17</v>
      </c>
      <c r="E1342" s="501">
        <v>790884</v>
      </c>
      <c r="F1342" s="489">
        <f t="shared" ref="F1342:G1342" si="1089">E1342*1.1</f>
        <v>869972.4</v>
      </c>
      <c r="G1342" s="489">
        <f t="shared" si="1089"/>
        <v>956969.64000000013</v>
      </c>
      <c r="H1342" s="132"/>
    </row>
    <row r="1343" spans="1:8" s="289" customFormat="1" outlineLevel="3">
      <c r="A1343" s="382"/>
      <c r="B1343" s="382"/>
      <c r="C1343" s="437">
        <v>2210102</v>
      </c>
      <c r="D1343" s="494" t="s">
        <v>18</v>
      </c>
      <c r="E1343" s="501">
        <v>32000</v>
      </c>
      <c r="F1343" s="489">
        <f t="shared" ref="F1343:G1343" si="1090">E1343*1.1</f>
        <v>35200</v>
      </c>
      <c r="G1343" s="489">
        <f t="shared" si="1090"/>
        <v>38720</v>
      </c>
      <c r="H1343" s="132"/>
    </row>
    <row r="1344" spans="1:8" s="289" customFormat="1" outlineLevel="3">
      <c r="A1344" s="382"/>
      <c r="B1344" s="382"/>
      <c r="C1344" s="443">
        <v>2211020</v>
      </c>
      <c r="D1344" s="492" t="s">
        <v>337</v>
      </c>
      <c r="E1344" s="499">
        <f>E1345+E1346</f>
        <v>100000</v>
      </c>
      <c r="F1344" s="489">
        <f t="shared" ref="F1344:G1344" si="1091">E1344*1.1</f>
        <v>110000.00000000001</v>
      </c>
      <c r="G1344" s="489">
        <f t="shared" si="1091"/>
        <v>121000.00000000003</v>
      </c>
      <c r="H1344" s="132"/>
    </row>
    <row r="1345" spans="1:8" s="289" customFormat="1" outlineLevel="3">
      <c r="A1345" s="382"/>
      <c r="B1345" s="382"/>
      <c r="C1345" s="437">
        <v>2210201</v>
      </c>
      <c r="D1345" s="494" t="s">
        <v>20</v>
      </c>
      <c r="E1345" s="501">
        <v>85000</v>
      </c>
      <c r="F1345" s="489">
        <f t="shared" ref="F1345:G1345" si="1092">E1345*1.1</f>
        <v>93500.000000000015</v>
      </c>
      <c r="G1345" s="489">
        <f t="shared" si="1092"/>
        <v>102850.00000000003</v>
      </c>
      <c r="H1345" s="132"/>
    </row>
    <row r="1346" spans="1:8" s="289" customFormat="1" outlineLevel="3">
      <c r="A1346" s="382"/>
      <c r="B1346" s="382"/>
      <c r="C1346" s="437">
        <v>2210202</v>
      </c>
      <c r="D1346" s="494" t="s">
        <v>21</v>
      </c>
      <c r="E1346" s="501">
        <v>15000</v>
      </c>
      <c r="F1346" s="489">
        <f t="shared" ref="F1346:G1346" si="1093">E1346*1.1</f>
        <v>16500</v>
      </c>
      <c r="G1346" s="489">
        <f t="shared" si="1093"/>
        <v>18150</v>
      </c>
      <c r="H1346" s="132"/>
    </row>
    <row r="1347" spans="1:8" s="289" customFormat="1" outlineLevel="3">
      <c r="A1347" s="382"/>
      <c r="B1347" s="382"/>
      <c r="C1347" s="443">
        <v>2210300</v>
      </c>
      <c r="D1347" s="492" t="s">
        <v>318</v>
      </c>
      <c r="E1347" s="499">
        <f>E1348+E1349+E1350</f>
        <v>2362887</v>
      </c>
      <c r="F1347" s="489">
        <f t="shared" ref="F1347:G1347" si="1094">E1347*1.1</f>
        <v>2599175.7000000002</v>
      </c>
      <c r="G1347" s="489">
        <f t="shared" si="1094"/>
        <v>2859093.2700000005</v>
      </c>
      <c r="H1347" s="132"/>
    </row>
    <row r="1348" spans="1:8" s="289" customFormat="1" outlineLevel="3">
      <c r="A1348" s="382"/>
      <c r="B1348" s="382"/>
      <c r="C1348" s="437">
        <v>2210301</v>
      </c>
      <c r="D1348" s="494" t="s">
        <v>24</v>
      </c>
      <c r="E1348" s="501">
        <f>1225898-399999</f>
        <v>825899</v>
      </c>
      <c r="F1348" s="489">
        <f t="shared" ref="F1348:G1348" si="1095">E1348*1.1</f>
        <v>908488.9</v>
      </c>
      <c r="G1348" s="489">
        <f t="shared" si="1095"/>
        <v>999337.79000000015</v>
      </c>
      <c r="H1348" s="132"/>
    </row>
    <row r="1349" spans="1:8" s="289" customFormat="1" outlineLevel="3">
      <c r="A1349" s="382"/>
      <c r="B1349" s="382"/>
      <c r="C1349" s="437">
        <v>2210302</v>
      </c>
      <c r="D1349" s="494" t="s">
        <v>320</v>
      </c>
      <c r="E1349" s="501">
        <v>291471</v>
      </c>
      <c r="F1349" s="489">
        <f t="shared" ref="F1349:G1349" si="1096">E1349*1.1</f>
        <v>320618.10000000003</v>
      </c>
      <c r="G1349" s="489">
        <f t="shared" si="1096"/>
        <v>352679.91000000009</v>
      </c>
      <c r="H1349" s="132"/>
    </row>
    <row r="1350" spans="1:8" s="289" customFormat="1" outlineLevel="3">
      <c r="A1350" s="382"/>
      <c r="B1350" s="382"/>
      <c r="C1350" s="437">
        <v>2210303</v>
      </c>
      <c r="D1350" s="494" t="s">
        <v>26</v>
      </c>
      <c r="E1350" s="501">
        <v>1245517</v>
      </c>
      <c r="F1350" s="489">
        <f t="shared" ref="F1350:G1350" si="1097">E1350*1.1</f>
        <v>1370068.7000000002</v>
      </c>
      <c r="G1350" s="489">
        <f t="shared" si="1097"/>
        <v>1507075.5700000003</v>
      </c>
      <c r="H1350" s="132"/>
    </row>
    <row r="1351" spans="1:8" s="289" customFormat="1" outlineLevel="3">
      <c r="A1351" s="382"/>
      <c r="B1351" s="382"/>
      <c r="C1351" s="443">
        <v>2210700</v>
      </c>
      <c r="D1351" s="492" t="s">
        <v>322</v>
      </c>
      <c r="E1351" s="499">
        <f>E1352+E1353+E1354</f>
        <v>1614269</v>
      </c>
      <c r="F1351" s="489">
        <f t="shared" ref="F1351:G1351" si="1098">E1351*1.1</f>
        <v>1775695.9000000001</v>
      </c>
      <c r="G1351" s="489">
        <f t="shared" si="1098"/>
        <v>1953265.4900000002</v>
      </c>
      <c r="H1351" s="132"/>
    </row>
    <row r="1352" spans="1:8" outlineLevel="3">
      <c r="A1352" s="324"/>
      <c r="B1352" s="324"/>
      <c r="C1352" s="437">
        <v>2210701</v>
      </c>
      <c r="D1352" s="494" t="s">
        <v>338</v>
      </c>
      <c r="E1352" s="501">
        <v>1100000</v>
      </c>
      <c r="F1352" s="489">
        <f t="shared" ref="F1352:G1352" si="1099">E1352*1.1</f>
        <v>1210000</v>
      </c>
      <c r="G1352" s="489">
        <f t="shared" si="1099"/>
        <v>1331000</v>
      </c>
    </row>
    <row r="1353" spans="1:8" s="289" customFormat="1" outlineLevel="3">
      <c r="A1353" s="382"/>
      <c r="B1353" s="382"/>
      <c r="C1353" s="437">
        <v>2210704</v>
      </c>
      <c r="D1353" s="494" t="s">
        <v>37</v>
      </c>
      <c r="E1353" s="501">
        <v>308454</v>
      </c>
      <c r="F1353" s="489">
        <f t="shared" ref="F1353:G1353" si="1100">E1353*1.1</f>
        <v>339299.4</v>
      </c>
      <c r="G1353" s="489">
        <f t="shared" si="1100"/>
        <v>373229.34000000008</v>
      </c>
      <c r="H1353" s="132"/>
    </row>
    <row r="1354" spans="1:8" s="289" customFormat="1" outlineLevel="3">
      <c r="A1354" s="382"/>
      <c r="B1354" s="382"/>
      <c r="C1354" s="437">
        <v>2210710</v>
      </c>
      <c r="D1354" s="494" t="s">
        <v>339</v>
      </c>
      <c r="E1354" s="501">
        <v>205815</v>
      </c>
      <c r="F1354" s="489">
        <f t="shared" ref="F1354:G1354" si="1101">E1354*1.1</f>
        <v>226396.50000000003</v>
      </c>
      <c r="G1354" s="489">
        <f t="shared" si="1101"/>
        <v>249036.15000000005</v>
      </c>
      <c r="H1354" s="132"/>
    </row>
    <row r="1355" spans="1:8" s="289" customFormat="1" outlineLevel="3">
      <c r="A1355" s="382"/>
      <c r="B1355" s="382"/>
      <c r="C1355" s="443">
        <v>2211200</v>
      </c>
      <c r="D1355" s="492" t="s">
        <v>53</v>
      </c>
      <c r="E1355" s="499">
        <f>E1356</f>
        <v>709639</v>
      </c>
      <c r="F1355" s="489">
        <f t="shared" ref="F1355:G1355" si="1102">E1355*1.1</f>
        <v>780602.9</v>
      </c>
      <c r="G1355" s="489">
        <f t="shared" si="1102"/>
        <v>858663.19000000006</v>
      </c>
      <c r="H1355" s="132"/>
    </row>
    <row r="1356" spans="1:8" s="289" customFormat="1" outlineLevel="3">
      <c r="A1356" s="382"/>
      <c r="B1356" s="382"/>
      <c r="C1356" s="437">
        <v>2211201</v>
      </c>
      <c r="D1356" s="494" t="s">
        <v>91</v>
      </c>
      <c r="E1356" s="501">
        <v>709639</v>
      </c>
      <c r="F1356" s="489">
        <f t="shared" ref="F1356:G1356" si="1103">E1356*1.1</f>
        <v>780602.9</v>
      </c>
      <c r="G1356" s="489">
        <f t="shared" si="1103"/>
        <v>858663.19000000006</v>
      </c>
      <c r="H1356" s="132"/>
    </row>
    <row r="1357" spans="1:8" s="289" customFormat="1" outlineLevel="3">
      <c r="A1357" s="382"/>
      <c r="B1357" s="382"/>
      <c r="C1357" s="443">
        <v>2220100</v>
      </c>
      <c r="D1357" s="492" t="s">
        <v>340</v>
      </c>
      <c r="E1357" s="499">
        <f>E1358</f>
        <v>1381651</v>
      </c>
      <c r="F1357" s="489">
        <f t="shared" ref="F1357:G1357" si="1104">E1357*1.1</f>
        <v>1519816.1</v>
      </c>
      <c r="G1357" s="489">
        <f t="shared" si="1104"/>
        <v>1671797.7100000002</v>
      </c>
      <c r="H1357" s="132"/>
    </row>
    <row r="1358" spans="1:8" outlineLevel="3">
      <c r="A1358" s="324"/>
      <c r="B1358" s="324"/>
      <c r="C1358" s="437">
        <v>2220101</v>
      </c>
      <c r="D1358" s="494" t="s">
        <v>225</v>
      </c>
      <c r="E1358" s="501">
        <v>1381651</v>
      </c>
      <c r="F1358" s="489">
        <f t="shared" ref="F1358:G1358" si="1105">E1358*1.1</f>
        <v>1519816.1</v>
      </c>
      <c r="G1358" s="489">
        <f t="shared" si="1105"/>
        <v>1671797.7100000002</v>
      </c>
    </row>
    <row r="1359" spans="1:8" s="289" customFormat="1" outlineLevel="3">
      <c r="A1359" s="382"/>
      <c r="B1359" s="382"/>
      <c r="C1359" s="443">
        <v>3111000</v>
      </c>
      <c r="D1359" s="492" t="s">
        <v>65</v>
      </c>
      <c r="E1359" s="499">
        <f>E1360</f>
        <v>598866</v>
      </c>
      <c r="F1359" s="489">
        <f t="shared" ref="F1359:G1359" si="1106">E1359*1.1</f>
        <v>658752.60000000009</v>
      </c>
      <c r="G1359" s="489">
        <f t="shared" si="1106"/>
        <v>724627.86000000022</v>
      </c>
      <c r="H1359" s="132"/>
    </row>
    <row r="1360" spans="1:8" s="289" customFormat="1" outlineLevel="3">
      <c r="A1360" s="382"/>
      <c r="B1360" s="382"/>
      <c r="C1360" s="437">
        <v>3111002</v>
      </c>
      <c r="D1360" s="494" t="s">
        <v>67</v>
      </c>
      <c r="E1360" s="501">
        <v>598866</v>
      </c>
      <c r="F1360" s="489">
        <f t="shared" ref="F1360:G1360" si="1107">E1360*1.1</f>
        <v>658752.60000000009</v>
      </c>
      <c r="G1360" s="489">
        <f t="shared" si="1107"/>
        <v>724627.86000000022</v>
      </c>
      <c r="H1360" s="132"/>
    </row>
    <row r="1361" spans="1:8" s="289" customFormat="1" ht="30" outlineLevel="3">
      <c r="A1361" s="382"/>
      <c r="B1361" s="382"/>
      <c r="C1361" s="443">
        <v>3111400</v>
      </c>
      <c r="D1361" s="492" t="s">
        <v>351</v>
      </c>
      <c r="E1361" s="499">
        <f>E1362</f>
        <v>1000000</v>
      </c>
      <c r="F1361" s="489">
        <f t="shared" ref="F1361:G1361" si="1108">E1361*1.1</f>
        <v>1100000</v>
      </c>
      <c r="G1361" s="489">
        <f t="shared" si="1108"/>
        <v>1210000</v>
      </c>
      <c r="H1361" s="132"/>
    </row>
    <row r="1362" spans="1:8" s="289" customFormat="1" outlineLevel="3">
      <c r="A1362" s="382"/>
      <c r="B1362" s="382"/>
      <c r="C1362" s="437">
        <v>3111401</v>
      </c>
      <c r="D1362" s="494" t="s">
        <v>344</v>
      </c>
      <c r="E1362" s="501">
        <v>1000000</v>
      </c>
      <c r="F1362" s="489">
        <f t="shared" ref="F1362:G1362" si="1109">E1362*1.1</f>
        <v>1100000</v>
      </c>
      <c r="G1362" s="489">
        <f t="shared" si="1109"/>
        <v>1210000</v>
      </c>
      <c r="H1362" s="132"/>
    </row>
    <row r="1363" spans="1:8" s="289" customFormat="1" outlineLevel="2">
      <c r="A1363" s="382"/>
      <c r="B1363" s="382"/>
      <c r="C1363" s="438"/>
      <c r="D1363" s="490" t="s">
        <v>345</v>
      </c>
      <c r="E1363" s="500">
        <f>E1361+E1359+E1357+E1355+E1351+E1347+E1344+E1341</f>
        <v>8590196</v>
      </c>
      <c r="F1363" s="489">
        <f t="shared" ref="F1363:G1363" si="1110">E1363*1.1</f>
        <v>9449215.6000000015</v>
      </c>
      <c r="G1363" s="489">
        <f t="shared" si="1110"/>
        <v>10394137.160000002</v>
      </c>
      <c r="H1363" s="132"/>
    </row>
    <row r="1364" spans="1:8" s="289" customFormat="1" outlineLevel="2">
      <c r="A1364" s="382"/>
      <c r="B1364" s="382"/>
      <c r="C1364" s="437"/>
      <c r="D1364" s="494"/>
      <c r="E1364" s="501"/>
      <c r="F1364" s="489">
        <f t="shared" ref="F1364:G1364" si="1111">E1364*1.1</f>
        <v>0</v>
      </c>
      <c r="G1364" s="489">
        <f t="shared" si="1111"/>
        <v>0</v>
      </c>
      <c r="H1364" s="132"/>
    </row>
    <row r="1365" spans="1:8" s="289" customFormat="1" outlineLevel="2">
      <c r="A1365" s="382"/>
      <c r="B1365" s="382"/>
      <c r="C1365" s="443"/>
      <c r="D1365" s="492" t="s">
        <v>184</v>
      </c>
      <c r="E1365" s="499"/>
      <c r="F1365" s="489">
        <f t="shared" ref="F1365:G1365" si="1112">E1365*1.1</f>
        <v>0</v>
      </c>
      <c r="G1365" s="489">
        <f t="shared" si="1112"/>
        <v>0</v>
      </c>
      <c r="H1365" s="132"/>
    </row>
    <row r="1366" spans="1:8" s="289" customFormat="1" outlineLevel="3">
      <c r="A1366" s="382"/>
      <c r="B1366" s="382"/>
      <c r="C1366" s="443">
        <v>3111500</v>
      </c>
      <c r="D1366" s="492" t="s">
        <v>352</v>
      </c>
      <c r="E1366" s="499">
        <f>E1367+E1368+E1369+E1370</f>
        <v>46907301</v>
      </c>
      <c r="F1366" s="489">
        <f t="shared" ref="F1366:G1366" si="1113">E1366*1.1</f>
        <v>51598031.100000001</v>
      </c>
      <c r="G1366" s="489">
        <f t="shared" si="1113"/>
        <v>56757834.210000008</v>
      </c>
      <c r="H1366" s="132"/>
    </row>
    <row r="1367" spans="1:8" outlineLevel="3">
      <c r="A1367" s="324"/>
      <c r="B1367" s="324"/>
      <c r="C1367" s="437">
        <v>3111504</v>
      </c>
      <c r="D1367" s="494" t="s">
        <v>353</v>
      </c>
      <c r="E1367" s="501">
        <v>24907301</v>
      </c>
      <c r="F1367" s="489">
        <f t="shared" ref="F1367:G1367" si="1114">E1367*1.1</f>
        <v>27398031.100000001</v>
      </c>
      <c r="G1367" s="489">
        <f t="shared" si="1114"/>
        <v>30137834.210000005</v>
      </c>
    </row>
    <row r="1368" spans="1:8" ht="30" outlineLevel="3">
      <c r="A1368" s="324"/>
      <c r="B1368" s="324"/>
      <c r="C1368" s="437">
        <v>3111505</v>
      </c>
      <c r="D1368" s="494" t="s">
        <v>354</v>
      </c>
      <c r="E1368" s="501">
        <v>20000000</v>
      </c>
      <c r="F1368" s="489">
        <f t="shared" ref="F1368:G1368" si="1115">E1368*1.1</f>
        <v>22000000</v>
      </c>
      <c r="G1368" s="489">
        <f t="shared" si="1115"/>
        <v>24200000.000000004</v>
      </c>
    </row>
    <row r="1369" spans="1:8" outlineLevel="3">
      <c r="A1369" s="324"/>
      <c r="B1369" s="324"/>
      <c r="C1369" s="437">
        <v>3110401</v>
      </c>
      <c r="D1369" s="494" t="s">
        <v>355</v>
      </c>
      <c r="E1369" s="501">
        <v>2000000</v>
      </c>
      <c r="F1369" s="489">
        <f t="shared" ref="F1369:G1369" si="1116">E1369*1.1</f>
        <v>2200000</v>
      </c>
      <c r="G1369" s="489">
        <f t="shared" si="1116"/>
        <v>2420000</v>
      </c>
    </row>
    <row r="1370" spans="1:8" outlineLevel="3">
      <c r="A1370" s="324"/>
      <c r="B1370" s="324"/>
      <c r="C1370" s="437"/>
      <c r="D1370" s="494" t="s">
        <v>356</v>
      </c>
      <c r="E1370" s="501">
        <v>0</v>
      </c>
      <c r="F1370" s="489">
        <f t="shared" ref="F1370:G1370" si="1117">E1370*1.1</f>
        <v>0</v>
      </c>
      <c r="G1370" s="489">
        <f t="shared" si="1117"/>
        <v>0</v>
      </c>
    </row>
    <row r="1371" spans="1:8" s="289" customFormat="1" outlineLevel="3">
      <c r="A1371" s="382"/>
      <c r="B1371" s="382"/>
      <c r="C1371" s="443">
        <v>2510100</v>
      </c>
      <c r="D1371" s="492" t="s">
        <v>357</v>
      </c>
      <c r="E1371" s="499">
        <f>E1372+E1373</f>
        <v>76000000</v>
      </c>
      <c r="F1371" s="489">
        <f t="shared" ref="F1371:G1371" si="1118">E1371*1.1</f>
        <v>83600000</v>
      </c>
      <c r="G1371" s="489">
        <f t="shared" si="1118"/>
        <v>91960000</v>
      </c>
      <c r="H1371" s="132"/>
    </row>
    <row r="1372" spans="1:8" s="289" customFormat="1" outlineLevel="3">
      <c r="A1372" s="382"/>
      <c r="B1372" s="382"/>
      <c r="C1372" s="437">
        <v>2510199</v>
      </c>
      <c r="D1372" s="494" t="s">
        <v>358</v>
      </c>
      <c r="E1372" s="501">
        <v>50000000</v>
      </c>
      <c r="F1372" s="489">
        <f t="shared" ref="F1372:G1372" si="1119">E1372*1.1</f>
        <v>55000000.000000007</v>
      </c>
      <c r="G1372" s="489">
        <f t="shared" si="1119"/>
        <v>60500000.000000015</v>
      </c>
      <c r="H1372" s="132"/>
    </row>
    <row r="1373" spans="1:8" ht="30" outlineLevel="3">
      <c r="A1373" s="324"/>
      <c r="B1373" s="324"/>
      <c r="C1373" s="437">
        <v>2640499</v>
      </c>
      <c r="D1373" s="494" t="s">
        <v>359</v>
      </c>
      <c r="E1373" s="501">
        <v>26000000</v>
      </c>
      <c r="F1373" s="489">
        <f t="shared" ref="F1373:G1373" si="1120">E1373*1.1</f>
        <v>28600000.000000004</v>
      </c>
      <c r="G1373" s="489">
        <f t="shared" si="1120"/>
        <v>31460000.000000007</v>
      </c>
    </row>
    <row r="1374" spans="1:8" s="289" customFormat="1" outlineLevel="2">
      <c r="A1374" s="382"/>
      <c r="B1374" s="382"/>
      <c r="C1374" s="438"/>
      <c r="D1374" s="490" t="s">
        <v>348</v>
      </c>
      <c r="E1374" s="500">
        <f>E1371+E1366</f>
        <v>122907301</v>
      </c>
      <c r="F1374" s="489">
        <f t="shared" ref="F1374:G1374" si="1121">E1374*1.1</f>
        <v>135198031.10000002</v>
      </c>
      <c r="G1374" s="489">
        <f t="shared" si="1121"/>
        <v>148717834.21000004</v>
      </c>
      <c r="H1374" s="132"/>
    </row>
    <row r="1375" spans="1:8" s="289" customFormat="1" outlineLevel="1">
      <c r="A1375" s="382"/>
      <c r="B1375" s="382"/>
      <c r="C1375" s="438"/>
      <c r="D1375" s="490" t="s">
        <v>80</v>
      </c>
      <c r="E1375" s="500">
        <f>E1374+E1363</f>
        <v>131497497</v>
      </c>
      <c r="F1375" s="489">
        <f t="shared" ref="F1375:G1375" si="1122">E1375*1.1</f>
        <v>144647246.70000002</v>
      </c>
      <c r="G1375" s="489">
        <f t="shared" si="1122"/>
        <v>159111971.37000003</v>
      </c>
      <c r="H1375" s="132"/>
    </row>
    <row r="1376" spans="1:8" s="289" customFormat="1" outlineLevel="1">
      <c r="A1376" s="382"/>
      <c r="B1376" s="382"/>
      <c r="C1376" s="441"/>
      <c r="D1376" s="502" t="s">
        <v>360</v>
      </c>
      <c r="E1376" s="503">
        <f>E1375+E1337+E1290</f>
        <v>685406261.77999997</v>
      </c>
      <c r="F1376" s="489">
        <f t="shared" ref="F1376:G1376" si="1123">E1376*1.1</f>
        <v>753946887.95800006</v>
      </c>
      <c r="G1376" s="489">
        <f t="shared" si="1123"/>
        <v>829341576.75380015</v>
      </c>
      <c r="H1376" s="132"/>
    </row>
    <row r="1377" spans="1:8" s="289" customFormat="1" outlineLevel="1">
      <c r="A1377" s="382"/>
      <c r="B1377" s="382"/>
      <c r="C1377" s="438"/>
      <c r="D1377" s="490"/>
      <c r="E1377" s="500"/>
      <c r="F1377" s="489">
        <f t="shared" ref="F1377:G1377" si="1124">E1377*1.1</f>
        <v>0</v>
      </c>
      <c r="G1377" s="489">
        <f t="shared" si="1124"/>
        <v>0</v>
      </c>
      <c r="H1377" s="132"/>
    </row>
    <row r="1378" spans="1:8" s="289" customFormat="1" outlineLevel="1">
      <c r="A1378" s="382"/>
      <c r="B1378" s="382"/>
      <c r="C1378" s="443" t="s">
        <v>361</v>
      </c>
      <c r="D1378" s="492" t="s">
        <v>362</v>
      </c>
      <c r="E1378" s="493"/>
      <c r="F1378" s="489">
        <f t="shared" ref="F1378:G1378" si="1125">E1378*1.1</f>
        <v>0</v>
      </c>
      <c r="G1378" s="489">
        <f t="shared" si="1125"/>
        <v>0</v>
      </c>
      <c r="H1378" s="132"/>
    </row>
    <row r="1379" spans="1:8" s="289" customFormat="1" outlineLevel="1">
      <c r="A1379" s="382"/>
      <c r="B1379" s="382"/>
      <c r="C1379" s="811" t="s">
        <v>363</v>
      </c>
      <c r="D1379" s="811"/>
      <c r="E1379" s="811"/>
      <c r="F1379" s="489">
        <f t="shared" ref="F1379:G1379" si="1126">E1379*1.1</f>
        <v>0</v>
      </c>
      <c r="G1379" s="489">
        <f t="shared" si="1126"/>
        <v>0</v>
      </c>
      <c r="H1379" s="132"/>
    </row>
    <row r="1380" spans="1:8" s="289" customFormat="1" outlineLevel="1">
      <c r="A1380" s="382"/>
      <c r="B1380" s="382"/>
      <c r="C1380" s="438" t="s">
        <v>364</v>
      </c>
      <c r="D1380" s="490"/>
      <c r="E1380" s="504"/>
      <c r="F1380" s="489">
        <f t="shared" ref="F1380:G1380" si="1127">E1380*1.1</f>
        <v>0</v>
      </c>
      <c r="G1380" s="489">
        <f t="shared" si="1127"/>
        <v>0</v>
      </c>
      <c r="H1380" s="132"/>
    </row>
    <row r="1381" spans="1:8" s="289" customFormat="1" outlineLevel="3">
      <c r="A1381" s="382"/>
      <c r="B1381" s="382"/>
      <c r="C1381" s="443">
        <v>2210100</v>
      </c>
      <c r="D1381" s="492" t="s">
        <v>336</v>
      </c>
      <c r="E1381" s="499">
        <f>E1382+E1383</f>
        <v>53000</v>
      </c>
      <c r="F1381" s="489">
        <f t="shared" ref="F1381:G1381" si="1128">E1381*1.1</f>
        <v>58300.000000000007</v>
      </c>
      <c r="G1381" s="489">
        <f t="shared" si="1128"/>
        <v>64130.000000000015</v>
      </c>
      <c r="H1381" s="132"/>
    </row>
    <row r="1382" spans="1:8" s="289" customFormat="1" outlineLevel="3">
      <c r="A1382" s="382"/>
      <c r="B1382" s="382"/>
      <c r="C1382" s="437">
        <v>2210101</v>
      </c>
      <c r="D1382" s="494" t="s">
        <v>17</v>
      </c>
      <c r="E1382" s="501">
        <v>38000</v>
      </c>
      <c r="F1382" s="489">
        <f t="shared" ref="F1382:G1382" si="1129">E1382*1.1</f>
        <v>41800</v>
      </c>
      <c r="G1382" s="489">
        <f t="shared" si="1129"/>
        <v>45980.000000000007</v>
      </c>
      <c r="H1382" s="132"/>
    </row>
    <row r="1383" spans="1:8" s="289" customFormat="1" outlineLevel="3">
      <c r="A1383" s="382"/>
      <c r="B1383" s="382"/>
      <c r="C1383" s="437">
        <v>2210102</v>
      </c>
      <c r="D1383" s="494" t="s">
        <v>18</v>
      </c>
      <c r="E1383" s="501">
        <v>15000</v>
      </c>
      <c r="F1383" s="489">
        <f t="shared" ref="F1383:G1383" si="1130">E1383*1.1</f>
        <v>16500</v>
      </c>
      <c r="G1383" s="489">
        <f t="shared" si="1130"/>
        <v>18150</v>
      </c>
      <c r="H1383" s="132"/>
    </row>
    <row r="1384" spans="1:8" s="289" customFormat="1" outlineLevel="3">
      <c r="A1384" s="382"/>
      <c r="B1384" s="382"/>
      <c r="C1384" s="443">
        <v>2211020</v>
      </c>
      <c r="D1384" s="492" t="s">
        <v>337</v>
      </c>
      <c r="E1384" s="499">
        <f>E1385</f>
        <v>400000</v>
      </c>
      <c r="F1384" s="489">
        <f t="shared" ref="F1384:G1384" si="1131">E1384*1.1</f>
        <v>440000.00000000006</v>
      </c>
      <c r="G1384" s="489">
        <f t="shared" si="1131"/>
        <v>484000.00000000012</v>
      </c>
      <c r="H1384" s="132"/>
    </row>
    <row r="1385" spans="1:8" s="289" customFormat="1" outlineLevel="3">
      <c r="A1385" s="382"/>
      <c r="B1385" s="382"/>
      <c r="C1385" s="437">
        <v>2210201</v>
      </c>
      <c r="D1385" s="494" t="s">
        <v>20</v>
      </c>
      <c r="E1385" s="501">
        <v>400000</v>
      </c>
      <c r="F1385" s="489">
        <f t="shared" ref="F1385:G1385" si="1132">E1385*1.1</f>
        <v>440000.00000000006</v>
      </c>
      <c r="G1385" s="489">
        <f t="shared" si="1132"/>
        <v>484000.00000000012</v>
      </c>
      <c r="H1385" s="132"/>
    </row>
    <row r="1386" spans="1:8" s="289" customFormat="1" outlineLevel="3">
      <c r="A1386" s="382"/>
      <c r="B1386" s="382"/>
      <c r="C1386" s="443">
        <v>2210300</v>
      </c>
      <c r="D1386" s="492" t="s">
        <v>318</v>
      </c>
      <c r="E1386" s="499">
        <f>E1387+E1388+E1389</f>
        <v>3163206</v>
      </c>
      <c r="F1386" s="489">
        <f t="shared" ref="F1386:G1386" si="1133">E1386*1.1</f>
        <v>3479526.6</v>
      </c>
      <c r="G1386" s="489">
        <f t="shared" si="1133"/>
        <v>3827479.2600000002</v>
      </c>
      <c r="H1386" s="132"/>
    </row>
    <row r="1387" spans="1:8" s="289" customFormat="1" outlineLevel="3">
      <c r="A1387" s="382"/>
      <c r="B1387" s="382"/>
      <c r="C1387" s="437">
        <v>2210301</v>
      </c>
      <c r="D1387" s="494" t="s">
        <v>24</v>
      </c>
      <c r="E1387" s="501">
        <v>558000</v>
      </c>
      <c r="F1387" s="489">
        <f t="shared" ref="F1387:G1387" si="1134">E1387*1.1</f>
        <v>613800</v>
      </c>
      <c r="G1387" s="489">
        <f t="shared" si="1134"/>
        <v>675180</v>
      </c>
      <c r="H1387" s="132"/>
    </row>
    <row r="1388" spans="1:8" s="289" customFormat="1" outlineLevel="3">
      <c r="A1388" s="382"/>
      <c r="B1388" s="382"/>
      <c r="C1388" s="437">
        <v>2210302</v>
      </c>
      <c r="D1388" s="494" t="s">
        <v>320</v>
      </c>
      <c r="E1388" s="501">
        <v>853400</v>
      </c>
      <c r="F1388" s="489">
        <f t="shared" ref="F1388:G1388" si="1135">E1388*1.1</f>
        <v>938740.00000000012</v>
      </c>
      <c r="G1388" s="489">
        <f t="shared" si="1135"/>
        <v>1032614.0000000002</v>
      </c>
      <c r="H1388" s="132"/>
    </row>
    <row r="1389" spans="1:8" s="289" customFormat="1" outlineLevel="3">
      <c r="A1389" s="382"/>
      <c r="B1389" s="382"/>
      <c r="C1389" s="437">
        <v>2210303</v>
      </c>
      <c r="D1389" s="494" t="s">
        <v>26</v>
      </c>
      <c r="E1389" s="501">
        <v>1751806</v>
      </c>
      <c r="F1389" s="489">
        <f t="shared" ref="F1389:G1389" si="1136">E1389*1.1</f>
        <v>1926986.6</v>
      </c>
      <c r="G1389" s="489">
        <f t="shared" si="1136"/>
        <v>2119685.2600000002</v>
      </c>
      <c r="H1389" s="132"/>
    </row>
    <row r="1390" spans="1:8" s="289" customFormat="1" outlineLevel="3">
      <c r="A1390" s="382"/>
      <c r="B1390" s="382"/>
      <c r="C1390" s="443">
        <v>2210500</v>
      </c>
      <c r="D1390" s="492" t="s">
        <v>30</v>
      </c>
      <c r="E1390" s="499">
        <f>E1391</f>
        <v>753200</v>
      </c>
      <c r="F1390" s="489">
        <f t="shared" ref="F1390:G1390" si="1137">E1390*1.1</f>
        <v>828520.00000000012</v>
      </c>
      <c r="G1390" s="489">
        <f t="shared" si="1137"/>
        <v>911372.00000000023</v>
      </c>
      <c r="H1390" s="132"/>
    </row>
    <row r="1391" spans="1:8" s="289" customFormat="1" outlineLevel="3">
      <c r="A1391" s="382"/>
      <c r="B1391" s="382"/>
      <c r="C1391" s="437">
        <v>2210502</v>
      </c>
      <c r="D1391" s="494" t="s">
        <v>162</v>
      </c>
      <c r="E1391" s="501">
        <v>753200</v>
      </c>
      <c r="F1391" s="489">
        <f t="shared" ref="F1391:G1391" si="1138">E1391*1.1</f>
        <v>828520.00000000012</v>
      </c>
      <c r="G1391" s="489">
        <f t="shared" si="1138"/>
        <v>911372.00000000023</v>
      </c>
      <c r="H1391" s="132"/>
    </row>
    <row r="1392" spans="1:8" s="289" customFormat="1" outlineLevel="3">
      <c r="A1392" s="382"/>
      <c r="B1392" s="382"/>
      <c r="C1392" s="443">
        <v>2210700</v>
      </c>
      <c r="D1392" s="492" t="s">
        <v>322</v>
      </c>
      <c r="E1392" s="499">
        <f>E1396+E1397+E1395+E1394+E1393</f>
        <v>4389869</v>
      </c>
      <c r="F1392" s="489">
        <f t="shared" ref="F1392:G1392" si="1139">E1392*1.1</f>
        <v>4828855.9000000004</v>
      </c>
      <c r="G1392" s="489">
        <f t="shared" si="1139"/>
        <v>5311741.4900000012</v>
      </c>
      <c r="H1392" s="132"/>
    </row>
    <row r="1393" spans="1:8" s="289" customFormat="1" outlineLevel="3">
      <c r="A1393" s="382"/>
      <c r="B1393" s="382"/>
      <c r="C1393" s="437">
        <v>2210701</v>
      </c>
      <c r="D1393" s="494" t="s">
        <v>365</v>
      </c>
      <c r="E1393" s="501">
        <v>1100000</v>
      </c>
      <c r="F1393" s="489">
        <f t="shared" ref="F1393:G1393" si="1140">E1393*1.1</f>
        <v>1210000</v>
      </c>
      <c r="G1393" s="489">
        <f t="shared" si="1140"/>
        <v>1331000</v>
      </c>
      <c r="H1393" s="132"/>
    </row>
    <row r="1394" spans="1:8" s="289" customFormat="1" outlineLevel="3">
      <c r="A1394" s="382"/>
      <c r="B1394" s="382"/>
      <c r="C1394" s="437">
        <v>2210704</v>
      </c>
      <c r="D1394" s="494" t="s">
        <v>37</v>
      </c>
      <c r="E1394" s="501">
        <v>220000</v>
      </c>
      <c r="F1394" s="489">
        <f t="shared" ref="F1394:G1394" si="1141">E1394*1.1</f>
        <v>242000.00000000003</v>
      </c>
      <c r="G1394" s="489">
        <f t="shared" si="1141"/>
        <v>266200.00000000006</v>
      </c>
      <c r="H1394" s="132"/>
    </row>
    <row r="1395" spans="1:8" s="289" customFormat="1" outlineLevel="3">
      <c r="A1395" s="382"/>
      <c r="B1395" s="382"/>
      <c r="C1395" s="437">
        <v>2210710</v>
      </c>
      <c r="D1395" s="494" t="s">
        <v>38</v>
      </c>
      <c r="E1395" s="501">
        <v>389639</v>
      </c>
      <c r="F1395" s="489">
        <f t="shared" ref="F1395:G1395" si="1142">E1395*1.1</f>
        <v>428602.9</v>
      </c>
      <c r="G1395" s="489">
        <f t="shared" si="1142"/>
        <v>471463.19000000006</v>
      </c>
      <c r="H1395" s="132"/>
    </row>
    <row r="1396" spans="1:8" s="293" customFormat="1" outlineLevel="3">
      <c r="A1396" s="505"/>
      <c r="B1396" s="505"/>
      <c r="C1396" s="437">
        <v>2210715</v>
      </c>
      <c r="D1396" s="494" t="s">
        <v>39</v>
      </c>
      <c r="E1396" s="506">
        <v>420000</v>
      </c>
      <c r="F1396" s="489">
        <f t="shared" ref="F1396:G1396" si="1143">E1396*1.1</f>
        <v>462000.00000000006</v>
      </c>
      <c r="G1396" s="489">
        <f t="shared" si="1143"/>
        <v>508200.00000000012</v>
      </c>
      <c r="H1396" s="132"/>
    </row>
    <row r="1397" spans="1:8" s="289" customFormat="1" outlineLevel="3">
      <c r="A1397" s="382"/>
      <c r="B1397" s="382"/>
      <c r="C1397" s="437">
        <v>2210799</v>
      </c>
      <c r="D1397" s="494" t="s">
        <v>366</v>
      </c>
      <c r="E1397" s="501">
        <v>2260230</v>
      </c>
      <c r="F1397" s="489">
        <f t="shared" ref="F1397:G1397" si="1144">E1397*1.1</f>
        <v>2486253</v>
      </c>
      <c r="G1397" s="489">
        <f t="shared" si="1144"/>
        <v>2734878.3000000003</v>
      </c>
      <c r="H1397" s="132"/>
    </row>
    <row r="1398" spans="1:8" s="289" customFormat="1" outlineLevel="3">
      <c r="A1398" s="382"/>
      <c r="B1398" s="382"/>
      <c r="C1398" s="443">
        <v>2210800</v>
      </c>
      <c r="D1398" s="492" t="s">
        <v>41</v>
      </c>
      <c r="E1398" s="499">
        <f>E1399</f>
        <v>565325</v>
      </c>
      <c r="F1398" s="489">
        <f t="shared" ref="F1398:G1398" si="1145">E1398*1.1</f>
        <v>621857.5</v>
      </c>
      <c r="G1398" s="489">
        <f t="shared" si="1145"/>
        <v>684043.25</v>
      </c>
      <c r="H1398" s="132"/>
    </row>
    <row r="1399" spans="1:8" s="289" customFormat="1" outlineLevel="3">
      <c r="A1399" s="382"/>
      <c r="B1399" s="382"/>
      <c r="C1399" s="437">
        <v>2210801</v>
      </c>
      <c r="D1399" s="494" t="s">
        <v>326</v>
      </c>
      <c r="E1399" s="501">
        <v>565325</v>
      </c>
      <c r="F1399" s="489">
        <f t="shared" ref="F1399:G1399" si="1146">E1399*1.1</f>
        <v>621857.5</v>
      </c>
      <c r="G1399" s="489">
        <f t="shared" si="1146"/>
        <v>684043.25</v>
      </c>
      <c r="H1399" s="132"/>
    </row>
    <row r="1400" spans="1:8" s="289" customFormat="1" outlineLevel="3">
      <c r="A1400" s="382"/>
      <c r="B1400" s="382"/>
      <c r="C1400" s="443">
        <v>2211000</v>
      </c>
      <c r="D1400" s="492" t="s">
        <v>173</v>
      </c>
      <c r="E1400" s="499">
        <f>E1401</f>
        <v>261901</v>
      </c>
      <c r="F1400" s="489">
        <f t="shared" ref="F1400:G1400" si="1147">E1400*1.1</f>
        <v>288091.10000000003</v>
      </c>
      <c r="G1400" s="489">
        <f t="shared" si="1147"/>
        <v>316900.21000000008</v>
      </c>
      <c r="H1400" s="132"/>
    </row>
    <row r="1401" spans="1:8" s="289" customFormat="1" outlineLevel="3">
      <c r="A1401" s="382"/>
      <c r="B1401" s="382"/>
      <c r="C1401" s="437">
        <v>2211007</v>
      </c>
      <c r="D1401" s="494" t="s">
        <v>367</v>
      </c>
      <c r="E1401" s="501">
        <v>261901</v>
      </c>
      <c r="F1401" s="489">
        <f t="shared" ref="F1401:G1401" si="1148">E1401*1.1</f>
        <v>288091.10000000003</v>
      </c>
      <c r="G1401" s="489">
        <f t="shared" si="1148"/>
        <v>316900.21000000008</v>
      </c>
      <c r="H1401" s="132"/>
    </row>
    <row r="1402" spans="1:8" s="289" customFormat="1" outlineLevel="3">
      <c r="A1402" s="382"/>
      <c r="B1402" s="382"/>
      <c r="C1402" s="444">
        <v>2211300</v>
      </c>
      <c r="D1402" s="445" t="s">
        <v>55</v>
      </c>
      <c r="E1402" s="507">
        <f>E1403</f>
        <v>51335</v>
      </c>
      <c r="F1402" s="489">
        <f t="shared" ref="F1402:G1402" si="1149">E1402*1.1</f>
        <v>56468.500000000007</v>
      </c>
      <c r="G1402" s="489">
        <f t="shared" si="1149"/>
        <v>62115.350000000013</v>
      </c>
      <c r="H1402" s="132"/>
    </row>
    <row r="1403" spans="1:8" s="289" customFormat="1" ht="30" outlineLevel="3">
      <c r="A1403" s="382"/>
      <c r="B1403" s="382"/>
      <c r="C1403" s="448">
        <v>2211306</v>
      </c>
      <c r="D1403" s="449" t="s">
        <v>57</v>
      </c>
      <c r="E1403" s="506">
        <v>51335</v>
      </c>
      <c r="F1403" s="489">
        <f t="shared" ref="F1403:G1403" si="1150">E1403*1.1</f>
        <v>56468.500000000007</v>
      </c>
      <c r="G1403" s="489">
        <f t="shared" si="1150"/>
        <v>62115.350000000013</v>
      </c>
      <c r="H1403" s="132"/>
    </row>
    <row r="1404" spans="1:8" s="289" customFormat="1" outlineLevel="3">
      <c r="A1404" s="382"/>
      <c r="B1404" s="382"/>
      <c r="C1404" s="443">
        <v>2211100</v>
      </c>
      <c r="D1404" s="492" t="s">
        <v>49</v>
      </c>
      <c r="E1404" s="499">
        <f>E1405+E1406+E1407+E1408</f>
        <v>2736611.5</v>
      </c>
      <c r="F1404" s="489">
        <f t="shared" ref="F1404:G1404" si="1151">E1404*1.1</f>
        <v>3010272.6500000004</v>
      </c>
      <c r="G1404" s="489">
        <f t="shared" si="1151"/>
        <v>3311299.9150000005</v>
      </c>
      <c r="H1404" s="132"/>
    </row>
    <row r="1405" spans="1:8" s="289" customFormat="1" ht="30" outlineLevel="3">
      <c r="A1405" s="382"/>
      <c r="B1405" s="382"/>
      <c r="C1405" s="437">
        <v>2211101</v>
      </c>
      <c r="D1405" s="494" t="s">
        <v>50</v>
      </c>
      <c r="E1405" s="501">
        <v>1149600.5</v>
      </c>
      <c r="F1405" s="489">
        <f t="shared" ref="F1405:G1405" si="1152">E1405*1.1</f>
        <v>1264560.55</v>
      </c>
      <c r="G1405" s="489">
        <f t="shared" si="1152"/>
        <v>1391016.6050000002</v>
      </c>
      <c r="H1405" s="132"/>
    </row>
    <row r="1406" spans="1:8" s="289" customFormat="1" outlineLevel="3">
      <c r="A1406" s="382"/>
      <c r="B1406" s="382"/>
      <c r="C1406" s="437">
        <v>2211102</v>
      </c>
      <c r="D1406" s="494" t="s">
        <v>51</v>
      </c>
      <c r="E1406" s="501">
        <v>481500</v>
      </c>
      <c r="F1406" s="489">
        <f t="shared" ref="F1406:G1406" si="1153">E1406*1.1</f>
        <v>529650</v>
      </c>
      <c r="G1406" s="489">
        <f t="shared" si="1153"/>
        <v>582615</v>
      </c>
      <c r="H1406" s="132"/>
    </row>
    <row r="1407" spans="1:8" s="289" customFormat="1" outlineLevel="3">
      <c r="A1407" s="382"/>
      <c r="B1407" s="382"/>
      <c r="C1407" s="437">
        <v>2211103</v>
      </c>
      <c r="D1407" s="494" t="s">
        <v>52</v>
      </c>
      <c r="E1407" s="501">
        <v>300050</v>
      </c>
      <c r="F1407" s="489">
        <f t="shared" ref="F1407:G1407" si="1154">E1407*1.1</f>
        <v>330055</v>
      </c>
      <c r="G1407" s="489">
        <f t="shared" si="1154"/>
        <v>363060.50000000006</v>
      </c>
      <c r="H1407" s="132"/>
    </row>
    <row r="1408" spans="1:8" s="289" customFormat="1" outlineLevel="3">
      <c r="A1408" s="382"/>
      <c r="B1408" s="382"/>
      <c r="C1408" s="437">
        <v>2211104</v>
      </c>
      <c r="D1408" s="494" t="s">
        <v>67</v>
      </c>
      <c r="E1408" s="501">
        <v>805461</v>
      </c>
      <c r="F1408" s="489">
        <f t="shared" ref="F1408:G1408" si="1155">E1408*1.1</f>
        <v>886007.10000000009</v>
      </c>
      <c r="G1408" s="489">
        <f t="shared" si="1155"/>
        <v>974607.81000000017</v>
      </c>
      <c r="H1408" s="132"/>
    </row>
    <row r="1409" spans="1:8" s="289" customFormat="1" outlineLevel="3">
      <c r="A1409" s="382"/>
      <c r="B1409" s="382"/>
      <c r="C1409" s="443">
        <v>2211200</v>
      </c>
      <c r="D1409" s="492" t="s">
        <v>53</v>
      </c>
      <c r="E1409" s="499">
        <f>E1410</f>
        <v>1780178</v>
      </c>
      <c r="F1409" s="489">
        <f t="shared" ref="F1409:G1409" si="1156">E1409*1.1</f>
        <v>1958195.8</v>
      </c>
      <c r="G1409" s="489">
        <f t="shared" si="1156"/>
        <v>2154015.3800000004</v>
      </c>
      <c r="H1409" s="132"/>
    </row>
    <row r="1410" spans="1:8" s="289" customFormat="1" outlineLevel="3">
      <c r="A1410" s="382"/>
      <c r="B1410" s="382"/>
      <c r="C1410" s="437">
        <v>2211201</v>
      </c>
      <c r="D1410" s="494" t="s">
        <v>91</v>
      </c>
      <c r="E1410" s="501">
        <v>1780178</v>
      </c>
      <c r="F1410" s="489">
        <f t="shared" ref="F1410:G1410" si="1157">E1410*1.1</f>
        <v>1958195.8</v>
      </c>
      <c r="G1410" s="489">
        <f t="shared" si="1157"/>
        <v>2154015.3800000004</v>
      </c>
      <c r="H1410" s="132"/>
    </row>
    <row r="1411" spans="1:8" s="289" customFormat="1" outlineLevel="3">
      <c r="A1411" s="382"/>
      <c r="B1411" s="382"/>
      <c r="C1411" s="443">
        <v>2220100</v>
      </c>
      <c r="D1411" s="492" t="s">
        <v>225</v>
      </c>
      <c r="E1411" s="499">
        <f>E1412</f>
        <v>1094707</v>
      </c>
      <c r="F1411" s="489">
        <f t="shared" ref="F1411:G1411" si="1158">E1411*1.1</f>
        <v>1204177.7000000002</v>
      </c>
      <c r="G1411" s="489">
        <f t="shared" si="1158"/>
        <v>1324595.4700000002</v>
      </c>
      <c r="H1411" s="132"/>
    </row>
    <row r="1412" spans="1:8" s="289" customFormat="1" outlineLevel="3">
      <c r="A1412" s="382"/>
      <c r="B1412" s="382"/>
      <c r="C1412" s="437">
        <v>2220101</v>
      </c>
      <c r="D1412" s="494" t="s">
        <v>225</v>
      </c>
      <c r="E1412" s="501">
        <v>1094707</v>
      </c>
      <c r="F1412" s="489">
        <f t="shared" ref="F1412:G1412" si="1159">E1412*1.1</f>
        <v>1204177.7000000002</v>
      </c>
      <c r="G1412" s="489">
        <f t="shared" si="1159"/>
        <v>1324595.4700000002</v>
      </c>
      <c r="H1412" s="132"/>
    </row>
    <row r="1413" spans="1:8" s="289" customFormat="1" outlineLevel="3">
      <c r="A1413" s="382"/>
      <c r="B1413" s="382"/>
      <c r="C1413" s="443">
        <v>2220200</v>
      </c>
      <c r="D1413" s="492" t="s">
        <v>368</v>
      </c>
      <c r="E1413" s="499">
        <f>E1414</f>
        <v>300667</v>
      </c>
      <c r="F1413" s="489">
        <f t="shared" ref="F1413:G1413" si="1160">E1413*1.1</f>
        <v>330733.7</v>
      </c>
      <c r="G1413" s="489">
        <f t="shared" si="1160"/>
        <v>363807.07000000007</v>
      </c>
      <c r="H1413" s="132"/>
    </row>
    <row r="1414" spans="1:8" s="289" customFormat="1" outlineLevel="3">
      <c r="A1414" s="382"/>
      <c r="B1414" s="382"/>
      <c r="C1414" s="437">
        <v>2220210</v>
      </c>
      <c r="D1414" s="494" t="s">
        <v>181</v>
      </c>
      <c r="E1414" s="501">
        <v>300667</v>
      </c>
      <c r="F1414" s="489">
        <f t="shared" ref="F1414:G1414" si="1161">E1414*1.1</f>
        <v>330733.7</v>
      </c>
      <c r="G1414" s="489">
        <f t="shared" si="1161"/>
        <v>363807.07000000007</v>
      </c>
      <c r="H1414" s="132"/>
    </row>
    <row r="1415" spans="1:8" s="289" customFormat="1" ht="30" outlineLevel="3">
      <c r="A1415" s="382"/>
      <c r="B1415" s="382"/>
      <c r="C1415" s="443">
        <v>3111400</v>
      </c>
      <c r="D1415" s="492" t="s">
        <v>343</v>
      </c>
      <c r="E1415" s="499">
        <f>E1416</f>
        <v>950000</v>
      </c>
      <c r="F1415" s="489">
        <f t="shared" ref="F1415:G1415" si="1162">E1415*1.1</f>
        <v>1045000.0000000001</v>
      </c>
      <c r="G1415" s="489">
        <f t="shared" si="1162"/>
        <v>1149500.0000000002</v>
      </c>
      <c r="H1415" s="132"/>
    </row>
    <row r="1416" spans="1:8" s="289" customFormat="1" outlineLevel="3">
      <c r="A1416" s="382"/>
      <c r="B1416" s="382"/>
      <c r="C1416" s="437">
        <v>3111401</v>
      </c>
      <c r="D1416" s="494" t="s">
        <v>344</v>
      </c>
      <c r="E1416" s="501">
        <v>950000</v>
      </c>
      <c r="F1416" s="489">
        <f t="shared" ref="F1416:G1416" si="1163">E1416*1.1</f>
        <v>1045000.0000000001</v>
      </c>
      <c r="G1416" s="489">
        <f t="shared" si="1163"/>
        <v>1149500.0000000002</v>
      </c>
      <c r="H1416" s="132"/>
    </row>
    <row r="1417" spans="1:8" s="294" customFormat="1" outlineLevel="2">
      <c r="A1417" s="315"/>
      <c r="B1417" s="315"/>
      <c r="C1417" s="478"/>
      <c r="D1417" s="490" t="s">
        <v>369</v>
      </c>
      <c r="E1417" s="500">
        <f>E1415+E1413+E1411+E1409+E1404+E1400+E1392+E1390+E1386+E1384+E1381+E1398+E1402</f>
        <v>16499999.5</v>
      </c>
      <c r="F1417" s="489">
        <f t="shared" ref="F1417:G1417" si="1164">E1417*1.1</f>
        <v>18149999.450000003</v>
      </c>
      <c r="G1417" s="489">
        <f t="shared" si="1164"/>
        <v>19964999.395000003</v>
      </c>
      <c r="H1417" s="132"/>
    </row>
    <row r="1418" spans="1:8" s="294" customFormat="1" outlineLevel="2">
      <c r="A1418" s="315"/>
      <c r="B1418" s="315"/>
      <c r="C1418" s="478"/>
      <c r="D1418" s="490"/>
      <c r="E1418" s="500"/>
      <c r="F1418" s="489">
        <f t="shared" ref="F1418:G1418" si="1165">E1418*1.1</f>
        <v>0</v>
      </c>
      <c r="G1418" s="489">
        <f t="shared" si="1165"/>
        <v>0</v>
      </c>
      <c r="H1418" s="132"/>
    </row>
    <row r="1419" spans="1:8" s="289" customFormat="1" outlineLevel="2">
      <c r="A1419" s="382"/>
      <c r="B1419" s="382"/>
      <c r="C1419" s="443"/>
      <c r="D1419" s="492" t="s">
        <v>184</v>
      </c>
      <c r="E1419" s="499"/>
      <c r="F1419" s="489">
        <f t="shared" ref="F1419:G1419" si="1166">E1419*1.1</f>
        <v>0</v>
      </c>
      <c r="G1419" s="489">
        <f t="shared" si="1166"/>
        <v>0</v>
      </c>
      <c r="H1419" s="132"/>
    </row>
    <row r="1420" spans="1:8" s="289" customFormat="1" outlineLevel="2">
      <c r="A1420" s="382"/>
      <c r="B1420" s="382"/>
      <c r="C1420" s="443"/>
      <c r="D1420" s="492" t="s">
        <v>370</v>
      </c>
      <c r="E1420" s="499"/>
      <c r="F1420" s="489">
        <f t="shared" ref="F1420:G1420" si="1167">E1420*1.1</f>
        <v>0</v>
      </c>
      <c r="G1420" s="489">
        <f t="shared" si="1167"/>
        <v>0</v>
      </c>
      <c r="H1420" s="132"/>
    </row>
    <row r="1421" spans="1:8" s="289" customFormat="1" outlineLevel="3">
      <c r="A1421" s="382"/>
      <c r="B1421" s="382"/>
      <c r="C1421" s="443">
        <v>3110500</v>
      </c>
      <c r="D1421" s="492" t="s">
        <v>305</v>
      </c>
      <c r="E1421" s="499">
        <f>E1422+E1423+E1424+E1425+E1426</f>
        <v>122151840</v>
      </c>
      <c r="F1421" s="489">
        <f t="shared" ref="F1421:G1421" si="1168">E1421*1.1</f>
        <v>134367024</v>
      </c>
      <c r="G1421" s="489">
        <f t="shared" si="1168"/>
        <v>147803726.40000001</v>
      </c>
      <c r="H1421" s="132"/>
    </row>
    <row r="1422" spans="1:8" s="289" customFormat="1" ht="30" outlineLevel="3">
      <c r="A1422" s="382"/>
      <c r="B1422" s="382"/>
      <c r="C1422" s="437">
        <v>3110504</v>
      </c>
      <c r="D1422" s="702" t="s">
        <v>371</v>
      </c>
      <c r="E1422" s="501">
        <v>92000000</v>
      </c>
      <c r="F1422" s="489">
        <f t="shared" ref="F1422:G1422" si="1169">E1422*1.1</f>
        <v>101200000.00000001</v>
      </c>
      <c r="G1422" s="489">
        <f t="shared" si="1169"/>
        <v>111320000.00000003</v>
      </c>
      <c r="H1422" s="132"/>
    </row>
    <row r="1423" spans="1:8" s="289" customFormat="1" outlineLevel="3">
      <c r="A1423" s="382"/>
      <c r="B1423" s="382"/>
      <c r="C1423" s="437">
        <v>3110505</v>
      </c>
      <c r="D1423" s="702" t="s">
        <v>372</v>
      </c>
      <c r="E1423" s="319">
        <v>20151840</v>
      </c>
      <c r="F1423" s="489">
        <f t="shared" ref="F1423:G1423" si="1170">E1423*1.1</f>
        <v>22167024</v>
      </c>
      <c r="G1423" s="489">
        <f t="shared" si="1170"/>
        <v>24383726.400000002</v>
      </c>
      <c r="H1423" s="132"/>
    </row>
    <row r="1424" spans="1:8" s="289" customFormat="1" outlineLevel="3">
      <c r="A1424" s="382"/>
      <c r="B1424" s="382"/>
      <c r="C1424" s="437">
        <v>3110599</v>
      </c>
      <c r="D1424" s="701" t="s">
        <v>373</v>
      </c>
      <c r="E1424" s="501">
        <v>3000000</v>
      </c>
      <c r="F1424" s="489">
        <f t="shared" ref="F1424:G1424" si="1171">E1424*1.1</f>
        <v>3300000.0000000005</v>
      </c>
      <c r="G1424" s="489">
        <f t="shared" si="1171"/>
        <v>3630000.0000000009</v>
      </c>
      <c r="H1424" s="132"/>
    </row>
    <row r="1425" spans="1:8" s="289" customFormat="1" outlineLevel="3">
      <c r="A1425" s="382"/>
      <c r="B1425" s="382"/>
      <c r="C1425" s="437">
        <v>3110599</v>
      </c>
      <c r="D1425" s="701" t="s">
        <v>374</v>
      </c>
      <c r="E1425" s="501">
        <v>5000000</v>
      </c>
      <c r="F1425" s="489">
        <f t="shared" ref="F1425:G1425" si="1172">E1425*1.1</f>
        <v>5500000</v>
      </c>
      <c r="G1425" s="489">
        <f t="shared" si="1172"/>
        <v>6050000.0000000009</v>
      </c>
      <c r="H1425" s="132"/>
    </row>
    <row r="1426" spans="1:8" s="289" customFormat="1" outlineLevel="3">
      <c r="A1426" s="382"/>
      <c r="B1426" s="382"/>
      <c r="C1426" s="437">
        <v>3111401</v>
      </c>
      <c r="D1426" s="701" t="s">
        <v>375</v>
      </c>
      <c r="E1426" s="501">
        <v>2000000</v>
      </c>
      <c r="F1426" s="489">
        <f t="shared" ref="F1426:G1426" si="1173">E1426*1.1</f>
        <v>2200000</v>
      </c>
      <c r="G1426" s="489">
        <f t="shared" si="1173"/>
        <v>2420000</v>
      </c>
      <c r="H1426" s="132"/>
    </row>
    <row r="1427" spans="1:8" s="289" customFormat="1" outlineLevel="2">
      <c r="A1427" s="382"/>
      <c r="B1427" s="382"/>
      <c r="C1427" s="438"/>
      <c r="D1427" s="703" t="s">
        <v>348</v>
      </c>
      <c r="E1427" s="500">
        <f>E1421</f>
        <v>122151840</v>
      </c>
      <c r="F1427" s="489">
        <f t="shared" ref="F1427:G1427" si="1174">E1427*1.1</f>
        <v>134367024</v>
      </c>
      <c r="G1427" s="489">
        <f t="shared" si="1174"/>
        <v>147803726.40000001</v>
      </c>
      <c r="H1427" s="132"/>
    </row>
    <row r="1428" spans="1:8" s="289" customFormat="1" outlineLevel="1">
      <c r="A1428" s="382"/>
      <c r="B1428" s="382"/>
      <c r="C1428" s="438"/>
      <c r="D1428" s="490" t="s">
        <v>80</v>
      </c>
      <c r="E1428" s="500">
        <f>E1417+E1427</f>
        <v>138651839.5</v>
      </c>
      <c r="F1428" s="489">
        <f t="shared" ref="F1428:G1428" si="1175">E1428*1.1</f>
        <v>152517023.45000002</v>
      </c>
      <c r="G1428" s="489">
        <f t="shared" si="1175"/>
        <v>167768725.79500005</v>
      </c>
      <c r="H1428" s="132"/>
    </row>
    <row r="1429" spans="1:8" s="289" customFormat="1" outlineLevel="1">
      <c r="A1429" s="382"/>
      <c r="B1429" s="382"/>
      <c r="C1429" s="438"/>
      <c r="D1429" s="492" t="s">
        <v>376</v>
      </c>
      <c r="E1429" s="499">
        <f>E1428</f>
        <v>138651839.5</v>
      </c>
      <c r="F1429" s="489">
        <f t="shared" ref="F1429:G1429" si="1176">E1429*1.1</f>
        <v>152517023.45000002</v>
      </c>
      <c r="G1429" s="489">
        <f t="shared" si="1176"/>
        <v>167768725.79500005</v>
      </c>
      <c r="H1429" s="132"/>
    </row>
    <row r="1430" spans="1:8" s="289" customFormat="1">
      <c r="A1430" s="382"/>
      <c r="B1430" s="382"/>
      <c r="C1430" s="438"/>
      <c r="D1430" s="490" t="s">
        <v>377</v>
      </c>
      <c r="E1430" s="500">
        <f>E1254+E1290+E1329+E1363+E1417</f>
        <v>171683830</v>
      </c>
      <c r="F1430" s="500">
        <f t="shared" ref="F1430:G1430" si="1177">F1254+F1290+F1329+F1363+F1417</f>
        <v>188852213</v>
      </c>
      <c r="G1430" s="500">
        <f t="shared" si="1177"/>
        <v>207737434.30000004</v>
      </c>
      <c r="H1430" s="132"/>
    </row>
    <row r="1431" spans="1:8" s="289" customFormat="1">
      <c r="A1431" s="382"/>
      <c r="B1431" s="382"/>
      <c r="C1431" s="438"/>
      <c r="D1431" s="490" t="s">
        <v>201</v>
      </c>
      <c r="E1431" s="500">
        <f>E1427+E1374+E1336</f>
        <v>770866186</v>
      </c>
      <c r="F1431" s="500">
        <f t="shared" ref="F1431:G1431" si="1178">F1427+F1374+F1336</f>
        <v>847952804.60000002</v>
      </c>
      <c r="G1431" s="500">
        <f t="shared" si="1178"/>
        <v>932748085.06000006</v>
      </c>
      <c r="H1431" s="132"/>
    </row>
    <row r="1432" spans="1:8" s="289" customFormat="1">
      <c r="A1432" s="382"/>
      <c r="B1432" s="382"/>
      <c r="C1432" s="812" t="s">
        <v>378</v>
      </c>
      <c r="D1432" s="812"/>
      <c r="E1432" s="500">
        <f>E1430+E1431</f>
        <v>942550016</v>
      </c>
      <c r="F1432" s="500">
        <f t="shared" ref="F1432:G1432" si="1179">F1430+F1431</f>
        <v>1036805017.6</v>
      </c>
      <c r="G1432" s="500">
        <f t="shared" si="1179"/>
        <v>1140485519.3600001</v>
      </c>
      <c r="H1432" s="132"/>
    </row>
    <row r="1433" spans="1:8" s="289" customFormat="1">
      <c r="A1433" s="311"/>
      <c r="B1433" s="311"/>
      <c r="C1433" s="312"/>
      <c r="D1433" s="313"/>
      <c r="E1433" s="314"/>
      <c r="F1433" s="382"/>
      <c r="G1433" s="382"/>
      <c r="H1433" s="132"/>
    </row>
    <row r="1434" spans="1:8" s="289" customFormat="1">
      <c r="A1434" s="311"/>
      <c r="B1434" s="311"/>
      <c r="C1434" s="312"/>
      <c r="D1434" s="313"/>
      <c r="E1434" s="314"/>
      <c r="F1434" s="382"/>
      <c r="G1434" s="382"/>
      <c r="H1434" s="132"/>
    </row>
    <row r="1435" spans="1:8" s="289" customFormat="1">
      <c r="A1435" s="311"/>
      <c r="B1435" s="311"/>
      <c r="C1435" s="312"/>
      <c r="D1435" s="313"/>
      <c r="E1435" s="314"/>
      <c r="F1435" s="382"/>
      <c r="G1435" s="382"/>
      <c r="H1435" s="132"/>
    </row>
    <row r="1436" spans="1:8" s="295" customFormat="1">
      <c r="A1436" s="508"/>
      <c r="B1436" s="508"/>
      <c r="C1436" s="438" t="s">
        <v>379</v>
      </c>
      <c r="D1436" s="509"/>
      <c r="E1436" s="510"/>
      <c r="F1436" s="511"/>
      <c r="G1436" s="512"/>
      <c r="H1436" s="132"/>
    </row>
    <row r="1437" spans="1:8" s="295" customFormat="1" outlineLevel="1">
      <c r="A1437" s="508" t="s">
        <v>204</v>
      </c>
      <c r="B1437" s="508" t="s">
        <v>98</v>
      </c>
      <c r="C1437" s="513" t="s">
        <v>380</v>
      </c>
      <c r="D1437" s="514"/>
      <c r="E1437" s="510"/>
      <c r="F1437" s="511"/>
      <c r="G1437" s="512"/>
      <c r="H1437" s="132"/>
    </row>
    <row r="1438" spans="1:8" s="295" customFormat="1" outlineLevel="2">
      <c r="A1438" s="508"/>
      <c r="B1438" s="508"/>
      <c r="C1438" s="515">
        <v>2110100</v>
      </c>
      <c r="D1438" s="514" t="s">
        <v>13</v>
      </c>
      <c r="E1438" s="516">
        <f>E1439</f>
        <v>813444415</v>
      </c>
      <c r="F1438" s="516">
        <f t="shared" ref="F1438:G1438" si="1180">F1439</f>
        <v>894788856.50000012</v>
      </c>
      <c r="G1438" s="516">
        <f t="shared" si="1180"/>
        <v>984267742.15000021</v>
      </c>
      <c r="H1438" s="132"/>
    </row>
    <row r="1439" spans="1:8" s="295" customFormat="1" ht="15.4" outlineLevel="2">
      <c r="A1439" s="508"/>
      <c r="B1439" s="508"/>
      <c r="C1439" s="517">
        <v>2110101</v>
      </c>
      <c r="D1439" s="518" t="s">
        <v>14</v>
      </c>
      <c r="E1439" s="519">
        <v>813444415</v>
      </c>
      <c r="F1439" s="520">
        <f t="shared" ref="F1439:G1455" si="1181">E1439*1.1</f>
        <v>894788856.50000012</v>
      </c>
      <c r="G1439" s="520">
        <f t="shared" si="1181"/>
        <v>984267742.15000021</v>
      </c>
      <c r="H1439" s="132"/>
    </row>
    <row r="1440" spans="1:8" s="295" customFormat="1" outlineLevel="2">
      <c r="A1440" s="508"/>
      <c r="B1440" s="508"/>
      <c r="C1440" s="515">
        <v>2210100</v>
      </c>
      <c r="D1440" s="514" t="s">
        <v>16</v>
      </c>
      <c r="E1440" s="521">
        <f>SUM(E1441:E1442)</f>
        <v>466058.3</v>
      </c>
      <c r="F1440" s="521">
        <f t="shared" ref="F1440:G1440" si="1182">SUM(F1441:F1442)</f>
        <v>512664.13</v>
      </c>
      <c r="G1440" s="521">
        <f t="shared" si="1182"/>
        <v>563930.54300000006</v>
      </c>
      <c r="H1440" s="132"/>
    </row>
    <row r="1441" spans="1:8" s="295" customFormat="1" outlineLevel="2">
      <c r="A1441" s="508"/>
      <c r="B1441" s="508"/>
      <c r="C1441" s="517">
        <v>2210101</v>
      </c>
      <c r="D1441" s="518" t="s">
        <v>17</v>
      </c>
      <c r="E1441" s="510">
        <v>241039</v>
      </c>
      <c r="F1441" s="520">
        <f t="shared" si="1181"/>
        <v>265142.90000000002</v>
      </c>
      <c r="G1441" s="520">
        <f t="shared" si="1181"/>
        <v>291657.19000000006</v>
      </c>
      <c r="H1441" s="132"/>
    </row>
    <row r="1442" spans="1:8" s="295" customFormat="1" outlineLevel="2">
      <c r="A1442" s="508"/>
      <c r="B1442" s="508"/>
      <c r="C1442" s="517">
        <v>2210102</v>
      </c>
      <c r="D1442" s="518" t="s">
        <v>18</v>
      </c>
      <c r="E1442" s="510">
        <v>225019.3</v>
      </c>
      <c r="F1442" s="520">
        <f t="shared" si="1181"/>
        <v>247521.23</v>
      </c>
      <c r="G1442" s="520">
        <f t="shared" si="1181"/>
        <v>272273.35300000006</v>
      </c>
      <c r="H1442" s="132"/>
    </row>
    <row r="1443" spans="1:8" s="295" customFormat="1" outlineLevel="2">
      <c r="A1443" s="508"/>
      <c r="B1443" s="508"/>
      <c r="C1443" s="515">
        <v>2210200</v>
      </c>
      <c r="D1443" s="514" t="s">
        <v>19</v>
      </c>
      <c r="E1443" s="521">
        <f>E1444</f>
        <v>379057.9</v>
      </c>
      <c r="F1443" s="521">
        <f t="shared" ref="F1443:G1443" si="1183">F1444</f>
        <v>416963.69000000006</v>
      </c>
      <c r="G1443" s="521">
        <f t="shared" si="1183"/>
        <v>458660.05900000012</v>
      </c>
      <c r="H1443" s="132"/>
    </row>
    <row r="1444" spans="1:8" s="295" customFormat="1" outlineLevel="2">
      <c r="A1444" s="508"/>
      <c r="B1444" s="508"/>
      <c r="C1444" s="517">
        <v>2210201</v>
      </c>
      <c r="D1444" s="518" t="s">
        <v>236</v>
      </c>
      <c r="E1444" s="510">
        <v>379057.9</v>
      </c>
      <c r="F1444" s="520">
        <f t="shared" si="1181"/>
        <v>416963.69000000006</v>
      </c>
      <c r="G1444" s="520">
        <f t="shared" si="1181"/>
        <v>458660.05900000012</v>
      </c>
      <c r="H1444" s="132"/>
    </row>
    <row r="1445" spans="1:8" s="295" customFormat="1" ht="30" outlineLevel="2">
      <c r="A1445" s="508"/>
      <c r="B1445" s="508"/>
      <c r="C1445" s="515">
        <v>2210300</v>
      </c>
      <c r="D1445" s="514" t="s">
        <v>23</v>
      </c>
      <c r="E1445" s="521">
        <f>SUM(E1446:E1448)</f>
        <v>2766983</v>
      </c>
      <c r="F1445" s="521">
        <f t="shared" ref="F1445:G1445" si="1184">SUM(F1446:F1448)</f>
        <v>3043681.3000000003</v>
      </c>
      <c r="G1445" s="521">
        <f t="shared" si="1184"/>
        <v>3348049.4300000006</v>
      </c>
      <c r="H1445" s="132"/>
    </row>
    <row r="1446" spans="1:8" s="295" customFormat="1" outlineLevel="2">
      <c r="A1446" s="508"/>
      <c r="B1446" s="508"/>
      <c r="C1446" s="517">
        <v>2210301</v>
      </c>
      <c r="D1446" s="518" t="s">
        <v>208</v>
      </c>
      <c r="E1446" s="510">
        <v>531045</v>
      </c>
      <c r="F1446" s="520">
        <f t="shared" si="1181"/>
        <v>584149.5</v>
      </c>
      <c r="G1446" s="520">
        <f t="shared" si="1181"/>
        <v>642564.45000000007</v>
      </c>
      <c r="H1446" s="132"/>
    </row>
    <row r="1447" spans="1:8" s="295" customFormat="1" outlineLevel="2">
      <c r="A1447" s="508"/>
      <c r="B1447" s="508"/>
      <c r="C1447" s="517">
        <v>2210302</v>
      </c>
      <c r="D1447" s="518" t="s">
        <v>25</v>
      </c>
      <c r="E1447" s="510">
        <v>1261336.5</v>
      </c>
      <c r="F1447" s="520">
        <f t="shared" si="1181"/>
        <v>1387470.1500000001</v>
      </c>
      <c r="G1447" s="520">
        <f t="shared" si="1181"/>
        <v>1526217.1650000003</v>
      </c>
      <c r="H1447" s="132"/>
    </row>
    <row r="1448" spans="1:8" s="295" customFormat="1" outlineLevel="2">
      <c r="A1448" s="508"/>
      <c r="B1448" s="508"/>
      <c r="C1448" s="517">
        <v>2210303</v>
      </c>
      <c r="D1448" s="518" t="s">
        <v>259</v>
      </c>
      <c r="E1448" s="510">
        <v>974601.5</v>
      </c>
      <c r="F1448" s="520">
        <f t="shared" si="1181"/>
        <v>1072061.6500000001</v>
      </c>
      <c r="G1448" s="520">
        <f t="shared" si="1181"/>
        <v>1179267.8150000002</v>
      </c>
      <c r="H1448" s="132"/>
    </row>
    <row r="1449" spans="1:8" s="295" customFormat="1" outlineLevel="2">
      <c r="A1449" s="508"/>
      <c r="B1449" s="508"/>
      <c r="C1449" s="515">
        <v>2210400</v>
      </c>
      <c r="D1449" s="514" t="s">
        <v>381</v>
      </c>
      <c r="E1449" s="521">
        <f>SUM(E1450:E1451)</f>
        <v>649000</v>
      </c>
      <c r="F1449" s="521">
        <f t="shared" ref="F1449:G1449" si="1185">SUM(F1450:F1451)</f>
        <v>713900</v>
      </c>
      <c r="G1449" s="521">
        <f t="shared" si="1185"/>
        <v>785290.00000000012</v>
      </c>
      <c r="H1449" s="132"/>
    </row>
    <row r="1450" spans="1:8" s="295" customFormat="1" outlineLevel="2">
      <c r="A1450" s="508"/>
      <c r="B1450" s="508"/>
      <c r="C1450" s="517">
        <v>2210401</v>
      </c>
      <c r="D1450" s="518" t="s">
        <v>210</v>
      </c>
      <c r="E1450" s="510">
        <v>357378</v>
      </c>
      <c r="F1450" s="520">
        <f t="shared" si="1181"/>
        <v>393115.80000000005</v>
      </c>
      <c r="G1450" s="520">
        <f t="shared" si="1181"/>
        <v>432427.38000000006</v>
      </c>
      <c r="H1450" s="132"/>
    </row>
    <row r="1451" spans="1:8" s="295" customFormat="1" outlineLevel="2">
      <c r="A1451" s="508"/>
      <c r="B1451" s="508"/>
      <c r="C1451" s="517">
        <v>2210402</v>
      </c>
      <c r="D1451" s="518" t="s">
        <v>211</v>
      </c>
      <c r="E1451" s="510">
        <v>291622</v>
      </c>
      <c r="F1451" s="520">
        <f t="shared" si="1181"/>
        <v>320784.2</v>
      </c>
      <c r="G1451" s="520">
        <f t="shared" si="1181"/>
        <v>352862.62000000005</v>
      </c>
      <c r="H1451" s="132"/>
    </row>
    <row r="1452" spans="1:8" s="295" customFormat="1" outlineLevel="2">
      <c r="A1452" s="508"/>
      <c r="B1452" s="508"/>
      <c r="C1452" s="515">
        <v>2210500</v>
      </c>
      <c r="D1452" s="514" t="s">
        <v>30</v>
      </c>
      <c r="E1452" s="521">
        <f>SUM(E1453:E1456)</f>
        <v>1825995.2999999998</v>
      </c>
      <c r="F1452" s="521">
        <f t="shared" ref="F1452:G1452" si="1186">SUM(F1453:F1456)</f>
        <v>2008594.83</v>
      </c>
      <c r="G1452" s="521">
        <f t="shared" si="1186"/>
        <v>2209454.3130000001</v>
      </c>
      <c r="H1452" s="132"/>
    </row>
    <row r="1453" spans="1:8" s="295" customFormat="1" outlineLevel="2">
      <c r="A1453" s="508"/>
      <c r="B1453" s="508"/>
      <c r="C1453" s="517">
        <v>2210502</v>
      </c>
      <c r="D1453" s="518" t="s">
        <v>162</v>
      </c>
      <c r="E1453" s="510">
        <v>150009.1</v>
      </c>
      <c r="F1453" s="520">
        <f t="shared" si="1181"/>
        <v>165010.01</v>
      </c>
      <c r="G1453" s="520">
        <f t="shared" si="1181"/>
        <v>181511.01100000003</v>
      </c>
      <c r="H1453" s="132"/>
    </row>
    <row r="1454" spans="1:8" s="295" customFormat="1" outlineLevel="2">
      <c r="A1454" s="508"/>
      <c r="B1454" s="508"/>
      <c r="C1454" s="517">
        <v>2210503</v>
      </c>
      <c r="D1454" s="518" t="s">
        <v>31</v>
      </c>
      <c r="E1454" s="510">
        <v>118863.8</v>
      </c>
      <c r="F1454" s="520">
        <f t="shared" si="1181"/>
        <v>130750.18000000001</v>
      </c>
      <c r="G1454" s="520">
        <f t="shared" si="1181"/>
        <v>143825.19800000003</v>
      </c>
      <c r="H1454" s="132"/>
    </row>
    <row r="1455" spans="1:8" s="295" customFormat="1" outlineLevel="2">
      <c r="A1455" s="508"/>
      <c r="B1455" s="508"/>
      <c r="C1455" s="517">
        <v>2210504</v>
      </c>
      <c r="D1455" s="518" t="s">
        <v>32</v>
      </c>
      <c r="E1455" s="510">
        <v>98215.5</v>
      </c>
      <c r="F1455" s="520">
        <f t="shared" si="1181"/>
        <v>108037.05</v>
      </c>
      <c r="G1455" s="520">
        <f t="shared" si="1181"/>
        <v>118840.75500000002</v>
      </c>
      <c r="H1455" s="132"/>
    </row>
    <row r="1456" spans="1:8" s="295" customFormat="1" outlineLevel="2">
      <c r="A1456" s="508"/>
      <c r="B1456" s="508"/>
      <c r="C1456" s="517">
        <v>2210505</v>
      </c>
      <c r="D1456" s="518" t="s">
        <v>213</v>
      </c>
      <c r="E1456" s="510">
        <v>1458906.9</v>
      </c>
      <c r="F1456" s="520">
        <f t="shared" ref="F1456:G1478" si="1187">E1456*1.1</f>
        <v>1604797.59</v>
      </c>
      <c r="G1456" s="520">
        <f t="shared" si="1187"/>
        <v>1765277.3490000002</v>
      </c>
      <c r="H1456" s="132"/>
    </row>
    <row r="1457" spans="1:8" s="295" customFormat="1" outlineLevel="2">
      <c r="A1457" s="508"/>
      <c r="B1457" s="508"/>
      <c r="C1457" s="515">
        <v>2210700</v>
      </c>
      <c r="D1457" s="514" t="s">
        <v>34</v>
      </c>
      <c r="E1457" s="521">
        <f>SUM(E1458:E1461)</f>
        <v>2221773.25</v>
      </c>
      <c r="F1457" s="521">
        <f t="shared" ref="F1457:G1457" si="1188">SUM(F1458:F1461)</f>
        <v>2443950.5750000002</v>
      </c>
      <c r="G1457" s="521">
        <f t="shared" si="1188"/>
        <v>2688345.6325000003</v>
      </c>
      <c r="H1457" s="132"/>
    </row>
    <row r="1458" spans="1:8" s="295" customFormat="1" outlineLevel="2">
      <c r="A1458" s="508"/>
      <c r="B1458" s="508"/>
      <c r="C1458" s="517">
        <v>2210701</v>
      </c>
      <c r="D1458" s="518" t="s">
        <v>35</v>
      </c>
      <c r="E1458" s="510">
        <v>458850.25</v>
      </c>
      <c r="F1458" s="520">
        <f t="shared" si="1187"/>
        <v>504735.27500000002</v>
      </c>
      <c r="G1458" s="520">
        <f t="shared" si="1187"/>
        <v>555208.80250000011</v>
      </c>
      <c r="H1458" s="132"/>
    </row>
    <row r="1459" spans="1:8" s="295" customFormat="1" outlineLevel="2">
      <c r="A1459" s="508"/>
      <c r="B1459" s="508"/>
      <c r="C1459" s="517">
        <v>2210704</v>
      </c>
      <c r="D1459" s="518" t="s">
        <v>37</v>
      </c>
      <c r="E1459" s="510">
        <v>587905</v>
      </c>
      <c r="F1459" s="520">
        <f t="shared" si="1187"/>
        <v>646695.5</v>
      </c>
      <c r="G1459" s="520">
        <f t="shared" si="1187"/>
        <v>711365.05</v>
      </c>
      <c r="H1459" s="132"/>
    </row>
    <row r="1460" spans="1:8" s="295" customFormat="1" outlineLevel="2">
      <c r="A1460" s="508"/>
      <c r="B1460" s="508"/>
      <c r="C1460" s="517">
        <v>2210708</v>
      </c>
      <c r="D1460" s="518" t="s">
        <v>193</v>
      </c>
      <c r="E1460" s="510">
        <v>512995</v>
      </c>
      <c r="F1460" s="520">
        <f t="shared" si="1187"/>
        <v>564294.5</v>
      </c>
      <c r="G1460" s="520">
        <f t="shared" si="1187"/>
        <v>620723.95000000007</v>
      </c>
      <c r="H1460" s="132"/>
    </row>
    <row r="1461" spans="1:8" s="295" customFormat="1" outlineLevel="2">
      <c r="A1461" s="508"/>
      <c r="B1461" s="508"/>
      <c r="C1461" s="517">
        <v>2210710</v>
      </c>
      <c r="D1461" s="518" t="s">
        <v>38</v>
      </c>
      <c r="E1461" s="510">
        <v>662023</v>
      </c>
      <c r="F1461" s="520">
        <f t="shared" si="1187"/>
        <v>728225.3</v>
      </c>
      <c r="G1461" s="520">
        <f t="shared" si="1187"/>
        <v>801047.83000000007</v>
      </c>
      <c r="H1461" s="132"/>
    </row>
    <row r="1462" spans="1:8" s="295" customFormat="1" outlineLevel="2">
      <c r="A1462" s="508"/>
      <c r="B1462" s="508"/>
      <c r="C1462" s="515">
        <v>2210800</v>
      </c>
      <c r="D1462" s="514" t="s">
        <v>41</v>
      </c>
      <c r="E1462" s="521">
        <f>SUM(E1463:E1464)</f>
        <v>1321006.46</v>
      </c>
      <c r="F1462" s="521">
        <f t="shared" ref="F1462:G1462" si="1189">SUM(F1463:F1464)</f>
        <v>1453107.1060000001</v>
      </c>
      <c r="G1462" s="521">
        <f t="shared" si="1189"/>
        <v>1598417.8166</v>
      </c>
      <c r="H1462" s="132"/>
    </row>
    <row r="1463" spans="1:8" s="295" customFormat="1" ht="45" outlineLevel="2">
      <c r="A1463" s="508"/>
      <c r="B1463" s="508"/>
      <c r="C1463" s="517">
        <v>2210801</v>
      </c>
      <c r="D1463" s="518" t="s">
        <v>382</v>
      </c>
      <c r="E1463" s="510">
        <v>656590.96</v>
      </c>
      <c r="F1463" s="520">
        <f t="shared" si="1187"/>
        <v>722250.05599999998</v>
      </c>
      <c r="G1463" s="520">
        <f t="shared" si="1187"/>
        <v>794475.06160000002</v>
      </c>
      <c r="H1463" s="132"/>
    </row>
    <row r="1464" spans="1:8" s="295" customFormat="1" outlineLevel="2">
      <c r="A1464" s="508"/>
      <c r="B1464" s="508"/>
      <c r="C1464" s="517">
        <v>2210802</v>
      </c>
      <c r="D1464" s="518" t="s">
        <v>86</v>
      </c>
      <c r="E1464" s="510">
        <v>664415.5</v>
      </c>
      <c r="F1464" s="520">
        <f t="shared" si="1187"/>
        <v>730857.05</v>
      </c>
      <c r="G1464" s="520">
        <f t="shared" si="1187"/>
        <v>803942.75500000012</v>
      </c>
      <c r="H1464" s="132"/>
    </row>
    <row r="1465" spans="1:8" s="295" customFormat="1" outlineLevel="2">
      <c r="A1465" s="508"/>
      <c r="B1465" s="508"/>
      <c r="C1465" s="515">
        <v>2211000</v>
      </c>
      <c r="D1465" s="514" t="s">
        <v>383</v>
      </c>
      <c r="E1465" s="521">
        <f>E1466</f>
        <v>163800</v>
      </c>
      <c r="F1465" s="521">
        <f t="shared" ref="F1465:G1465" si="1190">F1466</f>
        <v>180180</v>
      </c>
      <c r="G1465" s="521">
        <f t="shared" si="1190"/>
        <v>198198.00000000003</v>
      </c>
      <c r="H1465" s="132"/>
    </row>
    <row r="1466" spans="1:8" s="295" customFormat="1" outlineLevel="2">
      <c r="A1466" s="508"/>
      <c r="B1466" s="508"/>
      <c r="C1466" s="517">
        <v>2211016</v>
      </c>
      <c r="D1466" s="518" t="s">
        <v>384</v>
      </c>
      <c r="E1466" s="510">
        <v>163800</v>
      </c>
      <c r="F1466" s="520">
        <f t="shared" si="1187"/>
        <v>180180</v>
      </c>
      <c r="G1466" s="520">
        <f t="shared" si="1187"/>
        <v>198198.00000000003</v>
      </c>
      <c r="H1466" s="132"/>
    </row>
    <row r="1467" spans="1:8" s="295" customFormat="1" outlineLevel="2">
      <c r="A1467" s="508"/>
      <c r="B1467" s="508"/>
      <c r="C1467" s="515">
        <v>2211100</v>
      </c>
      <c r="D1467" s="514" t="s">
        <v>49</v>
      </c>
      <c r="E1467" s="521">
        <f>E1468</f>
        <v>985048.42</v>
      </c>
      <c r="F1467" s="521">
        <f t="shared" ref="F1467:G1467" si="1191">F1468</f>
        <v>1083553.2620000001</v>
      </c>
      <c r="G1467" s="521">
        <f t="shared" si="1191"/>
        <v>1191908.5882000001</v>
      </c>
      <c r="H1467" s="132"/>
    </row>
    <row r="1468" spans="1:8" s="295" customFormat="1" ht="30" outlineLevel="2">
      <c r="A1468" s="508"/>
      <c r="B1468" s="508"/>
      <c r="C1468" s="517">
        <v>2211101</v>
      </c>
      <c r="D1468" s="518" t="s">
        <v>50</v>
      </c>
      <c r="E1468" s="510">
        <v>985048.42</v>
      </c>
      <c r="F1468" s="520">
        <f t="shared" si="1187"/>
        <v>1083553.2620000001</v>
      </c>
      <c r="G1468" s="520">
        <f t="shared" si="1187"/>
        <v>1191908.5882000001</v>
      </c>
      <c r="H1468" s="132"/>
    </row>
    <row r="1469" spans="1:8" s="295" customFormat="1" outlineLevel="2">
      <c r="A1469" s="508"/>
      <c r="B1469" s="508"/>
      <c r="C1469" s="515">
        <v>2211200</v>
      </c>
      <c r="D1469" s="514" t="s">
        <v>53</v>
      </c>
      <c r="E1469" s="521">
        <f>E1470</f>
        <v>1859283.3</v>
      </c>
      <c r="F1469" s="521">
        <f t="shared" ref="F1469:G1469" si="1192">F1470</f>
        <v>2045211.6300000001</v>
      </c>
      <c r="G1469" s="521">
        <f t="shared" si="1192"/>
        <v>2249732.7930000005</v>
      </c>
      <c r="H1469" s="132"/>
    </row>
    <row r="1470" spans="1:8" s="295" customFormat="1" outlineLevel="2">
      <c r="A1470" s="508"/>
      <c r="B1470" s="508"/>
      <c r="C1470" s="517">
        <v>2211201</v>
      </c>
      <c r="D1470" s="518" t="s">
        <v>91</v>
      </c>
      <c r="E1470" s="510">
        <v>1859283.3</v>
      </c>
      <c r="F1470" s="520">
        <f t="shared" si="1187"/>
        <v>2045211.6300000001</v>
      </c>
      <c r="G1470" s="520">
        <f t="shared" si="1187"/>
        <v>2249732.7930000005</v>
      </c>
      <c r="H1470" s="132"/>
    </row>
    <row r="1471" spans="1:8" s="295" customFormat="1" outlineLevel="2">
      <c r="A1471" s="508"/>
      <c r="B1471" s="508"/>
      <c r="C1471" s="515">
        <v>2211300</v>
      </c>
      <c r="D1471" s="514" t="s">
        <v>55</v>
      </c>
      <c r="E1471" s="521">
        <f>SUM(E1472:E1472)</f>
        <v>1900000</v>
      </c>
      <c r="F1471" s="521">
        <f t="shared" ref="F1471:G1471" si="1193">SUM(F1472:F1472)</f>
        <v>2090000.0000000002</v>
      </c>
      <c r="G1471" s="521">
        <f t="shared" si="1193"/>
        <v>2299000.0000000005</v>
      </c>
      <c r="H1471" s="132"/>
    </row>
    <row r="1472" spans="1:8" s="295" customFormat="1" outlineLevel="2">
      <c r="A1472" s="508"/>
      <c r="B1472" s="508"/>
      <c r="C1472" s="517">
        <v>2211399</v>
      </c>
      <c r="D1472" s="518" t="s">
        <v>385</v>
      </c>
      <c r="E1472" s="510">
        <v>1900000</v>
      </c>
      <c r="F1472" s="520">
        <f t="shared" si="1187"/>
        <v>2090000.0000000002</v>
      </c>
      <c r="G1472" s="520">
        <f t="shared" si="1187"/>
        <v>2299000.0000000005</v>
      </c>
      <c r="H1472" s="132"/>
    </row>
    <row r="1473" spans="1:8" s="295" customFormat="1" ht="30" outlineLevel="2">
      <c r="A1473" s="508"/>
      <c r="B1473" s="508"/>
      <c r="C1473" s="515">
        <v>2220100</v>
      </c>
      <c r="D1473" s="514" t="s">
        <v>61</v>
      </c>
      <c r="E1473" s="521">
        <f>E1474</f>
        <v>1480486.96</v>
      </c>
      <c r="F1473" s="521">
        <f t="shared" ref="F1473:G1473" si="1194">F1474</f>
        <v>1628535.6560000002</v>
      </c>
      <c r="G1473" s="521">
        <f t="shared" si="1194"/>
        <v>1791389.2216000003</v>
      </c>
      <c r="H1473" s="132"/>
    </row>
    <row r="1474" spans="1:8" s="295" customFormat="1" outlineLevel="2">
      <c r="A1474" s="508"/>
      <c r="B1474" s="508"/>
      <c r="C1474" s="517">
        <v>2220101</v>
      </c>
      <c r="D1474" s="518" t="s">
        <v>225</v>
      </c>
      <c r="E1474" s="510">
        <v>1480486.96</v>
      </c>
      <c r="F1474" s="520">
        <f t="shared" si="1187"/>
        <v>1628535.6560000002</v>
      </c>
      <c r="G1474" s="520">
        <f t="shared" si="1187"/>
        <v>1791389.2216000003</v>
      </c>
      <c r="H1474" s="132"/>
    </row>
    <row r="1475" spans="1:8" s="295" customFormat="1" outlineLevel="2">
      <c r="A1475" s="508"/>
      <c r="B1475" s="508"/>
      <c r="C1475" s="515">
        <v>2220200</v>
      </c>
      <c r="D1475" s="514" t="s">
        <v>179</v>
      </c>
      <c r="E1475" s="521">
        <f>E1476</f>
        <v>954578</v>
      </c>
      <c r="F1475" s="521">
        <f t="shared" ref="F1475:G1475" si="1195">F1476</f>
        <v>1050035.8</v>
      </c>
      <c r="G1475" s="521">
        <f t="shared" si="1195"/>
        <v>1155039.3800000001</v>
      </c>
      <c r="H1475" s="132"/>
    </row>
    <row r="1476" spans="1:8" s="295" customFormat="1" outlineLevel="2">
      <c r="A1476" s="508"/>
      <c r="B1476" s="508"/>
      <c r="C1476" s="517">
        <v>2220205</v>
      </c>
      <c r="D1476" s="518" t="s">
        <v>180</v>
      </c>
      <c r="E1476" s="510">
        <v>954578</v>
      </c>
      <c r="F1476" s="520">
        <f t="shared" si="1187"/>
        <v>1050035.8</v>
      </c>
      <c r="G1476" s="520">
        <f t="shared" si="1187"/>
        <v>1155039.3800000001</v>
      </c>
      <c r="H1476" s="132"/>
    </row>
    <row r="1477" spans="1:8" s="295" customFormat="1" outlineLevel="2">
      <c r="A1477" s="508"/>
      <c r="B1477" s="508"/>
      <c r="C1477" s="515">
        <v>3111000</v>
      </c>
      <c r="D1477" s="514" t="s">
        <v>65</v>
      </c>
      <c r="E1477" s="521">
        <f>E1478</f>
        <v>734939</v>
      </c>
      <c r="F1477" s="521">
        <f t="shared" ref="F1477:G1477" si="1196">F1478</f>
        <v>808432.9</v>
      </c>
      <c r="G1477" s="521">
        <f t="shared" si="1196"/>
        <v>889276.19000000006</v>
      </c>
      <c r="H1477" s="132"/>
    </row>
    <row r="1478" spans="1:8" s="295" customFormat="1" outlineLevel="2">
      <c r="A1478" s="508"/>
      <c r="B1478" s="508"/>
      <c r="C1478" s="517">
        <v>3111001</v>
      </c>
      <c r="D1478" s="518" t="s">
        <v>386</v>
      </c>
      <c r="E1478" s="510">
        <v>734939</v>
      </c>
      <c r="F1478" s="520">
        <f t="shared" si="1187"/>
        <v>808432.9</v>
      </c>
      <c r="G1478" s="520">
        <f t="shared" si="1187"/>
        <v>889276.19000000006</v>
      </c>
      <c r="H1478" s="132"/>
    </row>
    <row r="1479" spans="1:8" s="295" customFormat="1" outlineLevel="1">
      <c r="A1479" s="508"/>
      <c r="B1479" s="508"/>
      <c r="C1479" s="513" t="s">
        <v>387</v>
      </c>
      <c r="D1479" s="514"/>
      <c r="E1479" s="521">
        <f>E1438+E1440+E1443+E1445+E1449+E1452+E1457+E1462+E1465+E1467+E1469+E1471+E1473+E1475+E1477</f>
        <v>831152424.88999987</v>
      </c>
      <c r="F1479" s="521">
        <f t="shared" ref="F1479:G1479" si="1197">F1438+F1440+F1443+F1445+F1449+F1452+F1457+F1462+F1465+F1467+F1469+F1471+F1473+F1475+F1477</f>
        <v>914267667.37900007</v>
      </c>
      <c r="G1479" s="521">
        <f t="shared" si="1197"/>
        <v>1005694434.1169002</v>
      </c>
      <c r="H1479" s="132"/>
    </row>
    <row r="1480" spans="1:8" s="295" customFormat="1" outlineLevel="1">
      <c r="A1480" s="508"/>
      <c r="B1480" s="508"/>
      <c r="C1480" s="513" t="s">
        <v>388</v>
      </c>
      <c r="D1480" s="514"/>
      <c r="E1480" s="510"/>
      <c r="F1480" s="511"/>
      <c r="G1480" s="512"/>
      <c r="H1480" s="132"/>
    </row>
    <row r="1481" spans="1:8" s="295" customFormat="1" outlineLevel="1">
      <c r="A1481" s="508"/>
      <c r="B1481" s="508"/>
      <c r="C1481" s="513"/>
      <c r="D1481" s="514"/>
      <c r="E1481" s="510"/>
      <c r="F1481" s="511"/>
      <c r="G1481" s="512"/>
      <c r="H1481" s="132"/>
    </row>
    <row r="1482" spans="1:8" s="295" customFormat="1" outlineLevel="1">
      <c r="A1482" s="508"/>
      <c r="B1482" s="508" t="s">
        <v>9</v>
      </c>
      <c r="C1482" s="513" t="s">
        <v>389</v>
      </c>
      <c r="D1482" s="514"/>
      <c r="E1482" s="510"/>
      <c r="F1482" s="511"/>
      <c r="G1482" s="512"/>
      <c r="H1482" s="132"/>
    </row>
    <row r="1483" spans="1:8" s="295" customFormat="1" outlineLevel="1">
      <c r="A1483" s="508" t="s">
        <v>233</v>
      </c>
      <c r="B1483" s="508"/>
      <c r="C1483" s="513" t="s">
        <v>390</v>
      </c>
      <c r="D1483" s="514"/>
      <c r="E1483" s="510"/>
      <c r="F1483" s="511"/>
      <c r="G1483" s="512"/>
      <c r="H1483" s="132"/>
    </row>
    <row r="1484" spans="1:8" s="295" customFormat="1" outlineLevel="1">
      <c r="A1484" s="508"/>
      <c r="B1484" s="508" t="s">
        <v>98</v>
      </c>
      <c r="C1484" s="513" t="s">
        <v>391</v>
      </c>
      <c r="D1484" s="514"/>
      <c r="E1484" s="510"/>
      <c r="F1484" s="511"/>
      <c r="G1484" s="512"/>
      <c r="H1484" s="132"/>
    </row>
    <row r="1485" spans="1:8" s="295" customFormat="1" outlineLevel="3">
      <c r="A1485" s="508"/>
      <c r="B1485" s="508"/>
      <c r="C1485" s="515">
        <v>2210200</v>
      </c>
      <c r="D1485" s="514" t="s">
        <v>19</v>
      </c>
      <c r="E1485" s="521">
        <f>E1486</f>
        <v>665630</v>
      </c>
      <c r="F1485" s="521">
        <f t="shared" ref="F1485:G1485" si="1198">F1486</f>
        <v>732193.00000000012</v>
      </c>
      <c r="G1485" s="521">
        <f t="shared" si="1198"/>
        <v>805412.30000000016</v>
      </c>
      <c r="H1485" s="132"/>
    </row>
    <row r="1486" spans="1:8" s="295" customFormat="1" outlineLevel="3">
      <c r="A1486" s="508"/>
      <c r="B1486" s="508"/>
      <c r="C1486" s="517">
        <v>2210201</v>
      </c>
      <c r="D1486" s="518" t="s">
        <v>236</v>
      </c>
      <c r="E1486" s="510">
        <v>665630</v>
      </c>
      <c r="F1486" s="520">
        <f t="shared" ref="F1486:G1497" si="1199">E1486*1.1</f>
        <v>732193.00000000012</v>
      </c>
      <c r="G1486" s="520">
        <f t="shared" si="1199"/>
        <v>805412.30000000016</v>
      </c>
      <c r="H1486" s="132"/>
    </row>
    <row r="1487" spans="1:8" s="295" customFormat="1" ht="30" outlineLevel="3">
      <c r="A1487" s="508"/>
      <c r="B1487" s="508"/>
      <c r="C1487" s="515">
        <v>2210300</v>
      </c>
      <c r="D1487" s="514" t="s">
        <v>23</v>
      </c>
      <c r="E1487" s="521">
        <f>SUM(E1488:E1490)</f>
        <v>4506705</v>
      </c>
      <c r="F1487" s="521">
        <f t="shared" ref="F1487:G1487" si="1200">SUM(F1488:F1490)</f>
        <v>4957375.5000000009</v>
      </c>
      <c r="G1487" s="521">
        <f t="shared" si="1200"/>
        <v>5453113.0500000007</v>
      </c>
      <c r="H1487" s="132"/>
    </row>
    <row r="1488" spans="1:8" s="295" customFormat="1" outlineLevel="3">
      <c r="A1488" s="508"/>
      <c r="B1488" s="508"/>
      <c r="C1488" s="517">
        <v>2210301</v>
      </c>
      <c r="D1488" s="518" t="s">
        <v>208</v>
      </c>
      <c r="E1488" s="510">
        <v>1449540</v>
      </c>
      <c r="F1488" s="520">
        <f t="shared" si="1199"/>
        <v>1594494.0000000002</v>
      </c>
      <c r="G1488" s="520">
        <f t="shared" si="1199"/>
        <v>1753943.4000000004</v>
      </c>
      <c r="H1488" s="132"/>
    </row>
    <row r="1489" spans="1:8" s="295" customFormat="1" outlineLevel="3">
      <c r="A1489" s="508"/>
      <c r="B1489" s="508"/>
      <c r="C1489" s="517">
        <v>2210302</v>
      </c>
      <c r="D1489" s="518" t="s">
        <v>25</v>
      </c>
      <c r="E1489" s="510">
        <v>1493520</v>
      </c>
      <c r="F1489" s="520">
        <f t="shared" si="1199"/>
        <v>1642872.0000000002</v>
      </c>
      <c r="G1489" s="520">
        <f t="shared" si="1199"/>
        <v>1807159.2000000004</v>
      </c>
      <c r="H1489" s="132"/>
    </row>
    <row r="1490" spans="1:8" s="295" customFormat="1" outlineLevel="3">
      <c r="A1490" s="508"/>
      <c r="B1490" s="508"/>
      <c r="C1490" s="517">
        <v>2210303</v>
      </c>
      <c r="D1490" s="518" t="s">
        <v>259</v>
      </c>
      <c r="E1490" s="510">
        <v>1563645</v>
      </c>
      <c r="F1490" s="520">
        <f t="shared" si="1199"/>
        <v>1720009.5000000002</v>
      </c>
      <c r="G1490" s="520">
        <f t="shared" si="1199"/>
        <v>1892010.4500000004</v>
      </c>
      <c r="H1490" s="132"/>
    </row>
    <row r="1491" spans="1:8" s="295" customFormat="1" outlineLevel="3">
      <c r="A1491" s="508"/>
      <c r="B1491" s="508"/>
      <c r="C1491" s="515">
        <v>2210400</v>
      </c>
      <c r="D1491" s="514" t="s">
        <v>381</v>
      </c>
      <c r="E1491" s="521">
        <f>SUM(E1492:E1493)</f>
        <v>869000</v>
      </c>
      <c r="F1491" s="521">
        <f t="shared" ref="F1491:G1491" si="1201">SUM(F1492:F1493)</f>
        <v>955900.00000000012</v>
      </c>
      <c r="G1491" s="521">
        <f t="shared" si="1201"/>
        <v>1051490.0000000002</v>
      </c>
      <c r="H1491" s="132"/>
    </row>
    <row r="1492" spans="1:8" s="295" customFormat="1" outlineLevel="3">
      <c r="A1492" s="508"/>
      <c r="B1492" s="508"/>
      <c r="C1492" s="517">
        <v>2210401</v>
      </c>
      <c r="D1492" s="518" t="s">
        <v>210</v>
      </c>
      <c r="E1492" s="510">
        <v>367378</v>
      </c>
      <c r="F1492" s="520">
        <f t="shared" si="1199"/>
        <v>404115.80000000005</v>
      </c>
      <c r="G1492" s="520">
        <f t="shared" si="1199"/>
        <v>444527.38000000006</v>
      </c>
      <c r="H1492" s="132"/>
    </row>
    <row r="1493" spans="1:8" s="295" customFormat="1" outlineLevel="3">
      <c r="A1493" s="508"/>
      <c r="B1493" s="508"/>
      <c r="C1493" s="517">
        <v>2210402</v>
      </c>
      <c r="D1493" s="518" t="s">
        <v>211</v>
      </c>
      <c r="E1493" s="510">
        <v>501622</v>
      </c>
      <c r="F1493" s="520">
        <f t="shared" si="1199"/>
        <v>551784.20000000007</v>
      </c>
      <c r="G1493" s="520">
        <f t="shared" si="1199"/>
        <v>606962.62000000011</v>
      </c>
      <c r="H1493" s="132"/>
    </row>
    <row r="1494" spans="1:8" s="295" customFormat="1" outlineLevel="3">
      <c r="A1494" s="508"/>
      <c r="B1494" s="508"/>
      <c r="C1494" s="515">
        <v>2210500</v>
      </c>
      <c r="D1494" s="514" t="s">
        <v>30</v>
      </c>
      <c r="E1494" s="521">
        <f>SUM(E1495:E1497)</f>
        <v>1765188.4</v>
      </c>
      <c r="F1494" s="521">
        <f t="shared" si="1199"/>
        <v>1941707.24</v>
      </c>
      <c r="G1494" s="521">
        <f t="shared" si="1199"/>
        <v>2135877.9640000002</v>
      </c>
      <c r="H1494" s="132"/>
    </row>
    <row r="1495" spans="1:8" s="295" customFormat="1" outlineLevel="3">
      <c r="A1495" s="508"/>
      <c r="B1495" s="508"/>
      <c r="C1495" s="517">
        <v>2210502</v>
      </c>
      <c r="D1495" s="518" t="s">
        <v>162</v>
      </c>
      <c r="E1495" s="510">
        <v>660009.1</v>
      </c>
      <c r="F1495" s="520">
        <f t="shared" si="1199"/>
        <v>726010.01</v>
      </c>
      <c r="G1495" s="520">
        <f t="shared" si="1199"/>
        <v>798611.01100000006</v>
      </c>
      <c r="H1495" s="132"/>
    </row>
    <row r="1496" spans="1:8" s="295" customFormat="1" outlineLevel="3">
      <c r="A1496" s="508"/>
      <c r="B1496" s="508"/>
      <c r="C1496" s="517">
        <v>2210503</v>
      </c>
      <c r="D1496" s="518" t="s">
        <v>31</v>
      </c>
      <c r="E1496" s="510">
        <v>528863.80000000005</v>
      </c>
      <c r="F1496" s="520">
        <f t="shared" si="1199"/>
        <v>581750.18000000005</v>
      </c>
      <c r="G1496" s="520">
        <f t="shared" si="1199"/>
        <v>639925.19800000009</v>
      </c>
      <c r="H1496" s="132"/>
    </row>
    <row r="1497" spans="1:8" s="295" customFormat="1" outlineLevel="3">
      <c r="A1497" s="508"/>
      <c r="B1497" s="508"/>
      <c r="C1497" s="517">
        <v>2210504</v>
      </c>
      <c r="D1497" s="518" t="s">
        <v>32</v>
      </c>
      <c r="E1497" s="510">
        <v>576315.5</v>
      </c>
      <c r="F1497" s="520">
        <f t="shared" si="1199"/>
        <v>633947.05000000005</v>
      </c>
      <c r="G1497" s="520">
        <f t="shared" si="1199"/>
        <v>697341.75500000012</v>
      </c>
      <c r="H1497" s="132"/>
    </row>
    <row r="1498" spans="1:8" s="295" customFormat="1" outlineLevel="3">
      <c r="A1498" s="508"/>
      <c r="B1498" s="508"/>
      <c r="C1498" s="515">
        <v>2210700</v>
      </c>
      <c r="D1498" s="514" t="s">
        <v>34</v>
      </c>
      <c r="E1498" s="521">
        <f>SUM(E1499:E1503)</f>
        <v>4806868.5</v>
      </c>
      <c r="F1498" s="521">
        <f t="shared" ref="F1498:G1498" si="1202">SUM(F1499:F1503)</f>
        <v>5287555.3500000006</v>
      </c>
      <c r="G1498" s="521">
        <f t="shared" si="1202"/>
        <v>5816310.8850000007</v>
      </c>
      <c r="H1498" s="132"/>
    </row>
    <row r="1499" spans="1:8" s="295" customFormat="1" outlineLevel="3">
      <c r="A1499" s="508"/>
      <c r="B1499" s="508"/>
      <c r="C1499" s="517">
        <v>2210701</v>
      </c>
      <c r="D1499" s="518" t="s">
        <v>35</v>
      </c>
      <c r="E1499" s="510">
        <v>1480955</v>
      </c>
      <c r="F1499" s="520">
        <f t="shared" ref="F1499:G1527" si="1203">E1499*1.1</f>
        <v>1629050.5000000002</v>
      </c>
      <c r="G1499" s="520">
        <f t="shared" si="1203"/>
        <v>1791955.5500000005</v>
      </c>
      <c r="H1499" s="132"/>
    </row>
    <row r="1500" spans="1:8" s="295" customFormat="1" outlineLevel="3">
      <c r="A1500" s="508"/>
      <c r="B1500" s="508"/>
      <c r="C1500" s="517">
        <v>2210703</v>
      </c>
      <c r="D1500" s="518" t="s">
        <v>166</v>
      </c>
      <c r="E1500" s="510">
        <v>255685</v>
      </c>
      <c r="F1500" s="520">
        <f t="shared" si="1203"/>
        <v>281253.5</v>
      </c>
      <c r="G1500" s="520">
        <f t="shared" si="1203"/>
        <v>309378.85000000003</v>
      </c>
      <c r="H1500" s="132"/>
    </row>
    <row r="1501" spans="1:8" s="295" customFormat="1" outlineLevel="3">
      <c r="A1501" s="508"/>
      <c r="B1501" s="508"/>
      <c r="C1501" s="517">
        <v>2210704</v>
      </c>
      <c r="D1501" s="518" t="s">
        <v>37</v>
      </c>
      <c r="E1501" s="510">
        <v>434984.5</v>
      </c>
      <c r="F1501" s="520">
        <f t="shared" si="1203"/>
        <v>478482.95</v>
      </c>
      <c r="G1501" s="520">
        <f t="shared" si="1203"/>
        <v>526331.24500000011</v>
      </c>
      <c r="H1501" s="132"/>
    </row>
    <row r="1502" spans="1:8" s="295" customFormat="1" outlineLevel="3">
      <c r="A1502" s="508"/>
      <c r="B1502" s="508"/>
      <c r="C1502" s="517">
        <v>2210710</v>
      </c>
      <c r="D1502" s="518" t="s">
        <v>38</v>
      </c>
      <c r="E1502" s="510">
        <v>1775244</v>
      </c>
      <c r="F1502" s="520">
        <f t="shared" si="1203"/>
        <v>1952768.4000000001</v>
      </c>
      <c r="G1502" s="520">
        <f t="shared" si="1203"/>
        <v>2148045.2400000002</v>
      </c>
      <c r="H1502" s="132"/>
    </row>
    <row r="1503" spans="1:8" s="295" customFormat="1" outlineLevel="3">
      <c r="A1503" s="508"/>
      <c r="B1503" s="508"/>
      <c r="C1503" s="517">
        <v>2210715</v>
      </c>
      <c r="D1503" s="518" t="s">
        <v>392</v>
      </c>
      <c r="E1503" s="510">
        <v>860000</v>
      </c>
      <c r="F1503" s="520">
        <f t="shared" si="1203"/>
        <v>946000.00000000012</v>
      </c>
      <c r="G1503" s="520">
        <f t="shared" si="1203"/>
        <v>1040600.0000000002</v>
      </c>
      <c r="H1503" s="132"/>
    </row>
    <row r="1504" spans="1:8" s="295" customFormat="1" outlineLevel="3">
      <c r="A1504" s="508"/>
      <c r="B1504" s="508"/>
      <c r="C1504" s="515">
        <v>2210800</v>
      </c>
      <c r="D1504" s="514" t="s">
        <v>41</v>
      </c>
      <c r="E1504" s="521">
        <f>SUM(E1505:E1506)</f>
        <v>2138512</v>
      </c>
      <c r="F1504" s="521">
        <f t="shared" ref="F1504:G1504" si="1204">SUM(F1505:F1506)</f>
        <v>2352363.2000000002</v>
      </c>
      <c r="G1504" s="521">
        <f t="shared" si="1204"/>
        <v>2587599.5200000005</v>
      </c>
      <c r="H1504" s="132"/>
    </row>
    <row r="1505" spans="1:8" s="295" customFormat="1" ht="45" outlineLevel="3">
      <c r="A1505" s="508"/>
      <c r="B1505" s="508"/>
      <c r="C1505" s="517">
        <v>2210801</v>
      </c>
      <c r="D1505" s="518" t="s">
        <v>393</v>
      </c>
      <c r="E1505" s="510">
        <v>1503119</v>
      </c>
      <c r="F1505" s="520">
        <f t="shared" si="1203"/>
        <v>1653430.9000000001</v>
      </c>
      <c r="G1505" s="520">
        <f t="shared" si="1203"/>
        <v>1818773.9900000002</v>
      </c>
      <c r="H1505" s="132"/>
    </row>
    <row r="1506" spans="1:8" s="295" customFormat="1" outlineLevel="3">
      <c r="A1506" s="508"/>
      <c r="B1506" s="508"/>
      <c r="C1506" s="517">
        <v>2210802</v>
      </c>
      <c r="D1506" s="518" t="s">
        <v>43</v>
      </c>
      <c r="E1506" s="510">
        <v>635393</v>
      </c>
      <c r="F1506" s="520">
        <f t="shared" si="1203"/>
        <v>698932.3</v>
      </c>
      <c r="G1506" s="520">
        <f t="shared" si="1203"/>
        <v>768825.53000000014</v>
      </c>
      <c r="H1506" s="132"/>
    </row>
    <row r="1507" spans="1:8" s="295" customFormat="1" outlineLevel="3">
      <c r="A1507" s="508"/>
      <c r="B1507" s="508"/>
      <c r="C1507" s="515">
        <v>2211100</v>
      </c>
      <c r="D1507" s="514" t="s">
        <v>49</v>
      </c>
      <c r="E1507" s="521">
        <f>SUM(E1508:E1510)</f>
        <v>3127701.8</v>
      </c>
      <c r="F1507" s="521">
        <f t="shared" ref="F1507:G1507" si="1205">SUM(F1508:F1510)</f>
        <v>3440471.9800000004</v>
      </c>
      <c r="G1507" s="521">
        <f t="shared" si="1205"/>
        <v>3784519.1780000008</v>
      </c>
      <c r="H1507" s="132"/>
    </row>
    <row r="1508" spans="1:8" s="295" customFormat="1" ht="30" outlineLevel="3">
      <c r="A1508" s="508"/>
      <c r="B1508" s="508"/>
      <c r="C1508" s="517">
        <v>2211101</v>
      </c>
      <c r="D1508" s="518" t="s">
        <v>50</v>
      </c>
      <c r="E1508" s="510">
        <v>1703357.6</v>
      </c>
      <c r="F1508" s="520">
        <f t="shared" si="1203"/>
        <v>1873693.3600000003</v>
      </c>
      <c r="G1508" s="520">
        <f t="shared" si="1203"/>
        <v>2061062.6960000005</v>
      </c>
      <c r="H1508" s="132"/>
    </row>
    <row r="1509" spans="1:8" s="295" customFormat="1" outlineLevel="3">
      <c r="A1509" s="508"/>
      <c r="B1509" s="508"/>
      <c r="C1509" s="517">
        <v>2211102</v>
      </c>
      <c r="D1509" s="518" t="s">
        <v>51</v>
      </c>
      <c r="E1509" s="510">
        <v>842467</v>
      </c>
      <c r="F1509" s="520">
        <f t="shared" si="1203"/>
        <v>926713.70000000007</v>
      </c>
      <c r="G1509" s="520">
        <f t="shared" si="1203"/>
        <v>1019385.0700000002</v>
      </c>
      <c r="H1509" s="132"/>
    </row>
    <row r="1510" spans="1:8" s="295" customFormat="1" outlineLevel="3">
      <c r="A1510" s="508"/>
      <c r="B1510" s="508"/>
      <c r="C1510" s="517">
        <v>2211103</v>
      </c>
      <c r="D1510" s="518" t="s">
        <v>52</v>
      </c>
      <c r="E1510" s="510">
        <v>581877.19999999995</v>
      </c>
      <c r="F1510" s="520">
        <f t="shared" si="1203"/>
        <v>640064.92000000004</v>
      </c>
      <c r="G1510" s="520">
        <f t="shared" si="1203"/>
        <v>704071.41200000013</v>
      </c>
      <c r="H1510" s="132"/>
    </row>
    <row r="1511" spans="1:8" s="295" customFormat="1" outlineLevel="3">
      <c r="A1511" s="508"/>
      <c r="B1511" s="508"/>
      <c r="C1511" s="515">
        <v>2211200</v>
      </c>
      <c r="D1511" s="514" t="s">
        <v>53</v>
      </c>
      <c r="E1511" s="521">
        <f>E1512</f>
        <v>2512318</v>
      </c>
      <c r="F1511" s="521">
        <f t="shared" ref="F1511:G1511" si="1206">F1512</f>
        <v>2763549.8000000003</v>
      </c>
      <c r="G1511" s="521">
        <f t="shared" si="1206"/>
        <v>3039904.7800000007</v>
      </c>
      <c r="H1511" s="132"/>
    </row>
    <row r="1512" spans="1:8" s="295" customFormat="1" outlineLevel="3">
      <c r="A1512" s="508"/>
      <c r="B1512" s="508"/>
      <c r="C1512" s="517">
        <v>2211201</v>
      </c>
      <c r="D1512" s="518" t="s">
        <v>91</v>
      </c>
      <c r="E1512" s="510">
        <v>2512318</v>
      </c>
      <c r="F1512" s="520">
        <f t="shared" si="1203"/>
        <v>2763549.8000000003</v>
      </c>
      <c r="G1512" s="520">
        <f t="shared" si="1203"/>
        <v>3039904.7800000007</v>
      </c>
      <c r="H1512" s="132"/>
    </row>
    <row r="1513" spans="1:8" s="295" customFormat="1" outlineLevel="3">
      <c r="A1513" s="508"/>
      <c r="B1513" s="508"/>
      <c r="C1513" s="515">
        <v>2211300</v>
      </c>
      <c r="D1513" s="514" t="s">
        <v>55</v>
      </c>
      <c r="E1513" s="521">
        <f>E1514+E1516+E1515</f>
        <v>4538077.7</v>
      </c>
      <c r="F1513" s="521">
        <f t="shared" ref="F1513:G1513" si="1207">F1514+F1516+F1515</f>
        <v>4991885.4700000007</v>
      </c>
      <c r="G1513" s="521">
        <f t="shared" si="1207"/>
        <v>5491074.0170000009</v>
      </c>
      <c r="H1513" s="132"/>
    </row>
    <row r="1514" spans="1:8" s="295" customFormat="1" outlineLevel="3">
      <c r="A1514" s="508"/>
      <c r="B1514" s="508"/>
      <c r="C1514" s="517">
        <v>2210399</v>
      </c>
      <c r="D1514" s="518" t="s">
        <v>394</v>
      </c>
      <c r="E1514" s="510">
        <v>2063077.7</v>
      </c>
      <c r="F1514" s="520">
        <f t="shared" si="1203"/>
        <v>2269385.4700000002</v>
      </c>
      <c r="G1514" s="520">
        <f t="shared" si="1203"/>
        <v>2496324.0170000005</v>
      </c>
      <c r="H1514" s="132"/>
    </row>
    <row r="1515" spans="1:8" s="295" customFormat="1" outlineLevel="3">
      <c r="A1515" s="508"/>
      <c r="B1515" s="508"/>
      <c r="C1515" s="517">
        <v>2210399</v>
      </c>
      <c r="D1515" s="518" t="s">
        <v>395</v>
      </c>
      <c r="E1515" s="510">
        <v>2000000</v>
      </c>
      <c r="F1515" s="520">
        <f t="shared" si="1203"/>
        <v>2200000</v>
      </c>
      <c r="G1515" s="520">
        <f t="shared" si="1203"/>
        <v>2420000</v>
      </c>
      <c r="H1515" s="132"/>
    </row>
    <row r="1516" spans="1:8" s="295" customFormat="1" outlineLevel="3">
      <c r="A1516" s="508"/>
      <c r="B1516" s="508"/>
      <c r="C1516" s="517">
        <v>2211306</v>
      </c>
      <c r="D1516" s="518" t="s">
        <v>396</v>
      </c>
      <c r="E1516" s="510">
        <v>475000</v>
      </c>
      <c r="F1516" s="520">
        <f t="shared" si="1203"/>
        <v>522500.00000000006</v>
      </c>
      <c r="G1516" s="520">
        <f t="shared" si="1203"/>
        <v>574750.00000000012</v>
      </c>
      <c r="H1516" s="132"/>
    </row>
    <row r="1517" spans="1:8" s="295" customFormat="1" ht="30" outlineLevel="3">
      <c r="A1517" s="508"/>
      <c r="B1517" s="508"/>
      <c r="C1517" s="515">
        <v>2220100</v>
      </c>
      <c r="D1517" s="514" t="s">
        <v>61</v>
      </c>
      <c r="E1517" s="521">
        <f>E1518</f>
        <v>2330000</v>
      </c>
      <c r="F1517" s="521">
        <f t="shared" ref="F1517:G1517" si="1208">F1518</f>
        <v>2563000</v>
      </c>
      <c r="G1517" s="521">
        <f t="shared" si="1208"/>
        <v>2819300</v>
      </c>
      <c r="H1517" s="132"/>
    </row>
    <row r="1518" spans="1:8" s="295" customFormat="1" outlineLevel="3">
      <c r="A1518" s="508"/>
      <c r="B1518" s="508"/>
      <c r="C1518" s="517">
        <v>2220101</v>
      </c>
      <c r="D1518" s="518" t="s">
        <v>225</v>
      </c>
      <c r="E1518" s="510">
        <v>2330000</v>
      </c>
      <c r="F1518" s="520">
        <f t="shared" si="1203"/>
        <v>2563000</v>
      </c>
      <c r="G1518" s="520">
        <f t="shared" si="1203"/>
        <v>2819300</v>
      </c>
      <c r="H1518" s="132"/>
    </row>
    <row r="1519" spans="1:8" s="295" customFormat="1" outlineLevel="3">
      <c r="A1519" s="508"/>
      <c r="B1519" s="508"/>
      <c r="C1519" s="515">
        <v>2220200</v>
      </c>
      <c r="D1519" s="514" t="s">
        <v>179</v>
      </c>
      <c r="E1519" s="521">
        <f>E1520</f>
        <v>1080000</v>
      </c>
      <c r="F1519" s="521">
        <f t="shared" si="1203"/>
        <v>1188000</v>
      </c>
      <c r="G1519" s="521">
        <f t="shared" si="1203"/>
        <v>1306800</v>
      </c>
      <c r="H1519" s="132"/>
    </row>
    <row r="1520" spans="1:8" s="295" customFormat="1" outlineLevel="3">
      <c r="A1520" s="508"/>
      <c r="B1520" s="508"/>
      <c r="C1520" s="517">
        <v>2220205</v>
      </c>
      <c r="D1520" s="518" t="s">
        <v>180</v>
      </c>
      <c r="E1520" s="510">
        <v>1080000</v>
      </c>
      <c r="F1520" s="520">
        <f t="shared" si="1203"/>
        <v>1188000</v>
      </c>
      <c r="G1520" s="520">
        <f t="shared" si="1203"/>
        <v>1306800</v>
      </c>
      <c r="H1520" s="132"/>
    </row>
    <row r="1521" spans="1:8" s="295" customFormat="1" outlineLevel="3">
      <c r="A1521" s="508"/>
      <c r="B1521" s="508"/>
      <c r="C1521" s="508" t="s">
        <v>397</v>
      </c>
      <c r="D1521" s="522" t="s">
        <v>398</v>
      </c>
      <c r="E1521" s="523">
        <f>SUM(E1522:E1523)</f>
        <v>58500000</v>
      </c>
      <c r="F1521" s="523">
        <f t="shared" ref="F1521:G1521" si="1209">SUM(F1522:F1523)</f>
        <v>64350000.000000007</v>
      </c>
      <c r="G1521" s="524">
        <f t="shared" si="1209"/>
        <v>70785000.000000015</v>
      </c>
      <c r="H1521" s="132"/>
    </row>
    <row r="1522" spans="1:8" s="295" customFormat="1" ht="30" outlineLevel="3">
      <c r="A1522" s="508"/>
      <c r="B1522" s="508"/>
      <c r="C1522" s="525">
        <v>2640101</v>
      </c>
      <c r="D1522" s="526" t="s">
        <v>399</v>
      </c>
      <c r="E1522" s="510">
        <f>72%*78000000</f>
        <v>56160000</v>
      </c>
      <c r="F1522" s="520">
        <f t="shared" si="1203"/>
        <v>61776000.000000007</v>
      </c>
      <c r="G1522" s="520">
        <f t="shared" si="1203"/>
        <v>67953600.000000015</v>
      </c>
      <c r="H1522" s="132"/>
    </row>
    <row r="1523" spans="1:8" s="295" customFormat="1" ht="30" outlineLevel="3">
      <c r="A1523" s="508"/>
      <c r="B1523" s="508"/>
      <c r="C1523" s="525">
        <v>2640101</v>
      </c>
      <c r="D1523" s="526" t="s">
        <v>400</v>
      </c>
      <c r="E1523" s="510">
        <f>3%*78000000</f>
        <v>2340000</v>
      </c>
      <c r="F1523" s="520">
        <f t="shared" si="1203"/>
        <v>2574000</v>
      </c>
      <c r="G1523" s="520">
        <f t="shared" si="1203"/>
        <v>2831400</v>
      </c>
      <c r="H1523" s="132"/>
    </row>
    <row r="1524" spans="1:8" s="295" customFormat="1" ht="30" outlineLevel="3">
      <c r="A1524" s="508"/>
      <c r="B1524" s="508"/>
      <c r="C1524" s="515">
        <v>3111400</v>
      </c>
      <c r="D1524" s="704" t="s">
        <v>401</v>
      </c>
      <c r="E1524" s="521">
        <f>E1525</f>
        <v>1439999.86125613</v>
      </c>
      <c r="F1524" s="521">
        <f t="shared" si="1203"/>
        <v>1583999.8473817431</v>
      </c>
      <c r="G1524" s="521">
        <f t="shared" si="1203"/>
        <v>1742399.8321199175</v>
      </c>
      <c r="H1524" s="132"/>
    </row>
    <row r="1525" spans="1:8" s="295" customFormat="1" outlineLevel="3">
      <c r="A1525" s="508"/>
      <c r="B1525" s="508"/>
      <c r="C1525" s="517">
        <v>3111401</v>
      </c>
      <c r="D1525" s="518" t="s">
        <v>402</v>
      </c>
      <c r="E1525" s="510">
        <v>1439999.86125613</v>
      </c>
      <c r="F1525" s="520">
        <f t="shared" si="1203"/>
        <v>1583999.8473817431</v>
      </c>
      <c r="G1525" s="520">
        <f t="shared" si="1203"/>
        <v>1742399.8321199175</v>
      </c>
      <c r="H1525" s="132"/>
    </row>
    <row r="1526" spans="1:8" s="295" customFormat="1" outlineLevel="3">
      <c r="A1526" s="508"/>
      <c r="B1526" s="508"/>
      <c r="C1526" s="515">
        <v>3111000</v>
      </c>
      <c r="D1526" s="514" t="s">
        <v>65</v>
      </c>
      <c r="E1526" s="521">
        <f>E1527</f>
        <v>1579201.1</v>
      </c>
      <c r="F1526" s="521">
        <f t="shared" ref="F1526:G1526" si="1210">F1527</f>
        <v>1737121.2100000002</v>
      </c>
      <c r="G1526" s="521">
        <f t="shared" si="1210"/>
        <v>1910833.3310000005</v>
      </c>
      <c r="H1526" s="132"/>
    </row>
    <row r="1527" spans="1:8" s="295" customFormat="1" ht="30" outlineLevel="3">
      <c r="A1527" s="508"/>
      <c r="B1527" s="508"/>
      <c r="C1527" s="517">
        <v>3111002</v>
      </c>
      <c r="D1527" s="518" t="s">
        <v>403</v>
      </c>
      <c r="E1527" s="510">
        <v>1579201.1</v>
      </c>
      <c r="F1527" s="520">
        <f t="shared" si="1203"/>
        <v>1737121.2100000002</v>
      </c>
      <c r="G1527" s="520">
        <f t="shared" si="1203"/>
        <v>1910833.3310000005</v>
      </c>
      <c r="H1527" s="132"/>
    </row>
    <row r="1528" spans="1:8" s="295" customFormat="1" outlineLevel="2">
      <c r="A1528" s="508"/>
      <c r="B1528" s="508"/>
      <c r="C1528" s="515" t="s">
        <v>345</v>
      </c>
      <c r="D1528" s="514"/>
      <c r="E1528" s="521">
        <f>E1485+E1487+E1491+E1494+E1498+E1504+E1507+E1511+E1513+E1517+E1519+E1521+E1524+E1526</f>
        <v>89859202.361256123</v>
      </c>
      <c r="F1528" s="521">
        <f t="shared" ref="F1528:G1528" si="1211">F1485+F1487+F1491+F1494+F1498+F1504+F1507+F1511+F1513+F1517+F1519+F1521+F1524+F1526</f>
        <v>98845122.597381741</v>
      </c>
      <c r="G1528" s="521">
        <f t="shared" si="1211"/>
        <v>108729634.85711993</v>
      </c>
      <c r="H1528" s="132"/>
    </row>
    <row r="1529" spans="1:8" s="295" customFormat="1" outlineLevel="2">
      <c r="A1529" s="508"/>
      <c r="B1529" s="508"/>
      <c r="C1529" s="515"/>
      <c r="D1529" s="514"/>
      <c r="E1529" s="510"/>
      <c r="F1529" s="511"/>
      <c r="G1529" s="512"/>
      <c r="H1529" s="132"/>
    </row>
    <row r="1530" spans="1:8" s="295" customFormat="1" outlineLevel="2">
      <c r="A1530" s="508"/>
      <c r="B1530" s="508"/>
      <c r="C1530" s="515" t="s">
        <v>184</v>
      </c>
      <c r="D1530" s="514"/>
      <c r="E1530" s="510"/>
      <c r="F1530" s="511"/>
      <c r="G1530" s="512"/>
      <c r="H1530" s="132"/>
    </row>
    <row r="1531" spans="1:8" s="295" customFormat="1" outlineLevel="2">
      <c r="A1531" s="508"/>
      <c r="B1531" s="508"/>
      <c r="C1531" s="515">
        <v>3110200</v>
      </c>
      <c r="D1531" s="514" t="s">
        <v>72</v>
      </c>
      <c r="E1531" s="521">
        <f>E1532+E1533</f>
        <v>20000000</v>
      </c>
      <c r="F1531" s="521">
        <f t="shared" ref="F1531:G1531" si="1212">F1532+F1533</f>
        <v>22000000</v>
      </c>
      <c r="G1531" s="521">
        <f t="shared" si="1212"/>
        <v>24200000.000000004</v>
      </c>
      <c r="H1531" s="132"/>
    </row>
    <row r="1532" spans="1:8" s="295" customFormat="1" ht="30" outlineLevel="3">
      <c r="A1532" s="508"/>
      <c r="B1532" s="508"/>
      <c r="C1532" s="517">
        <v>3110203</v>
      </c>
      <c r="D1532" s="518" t="s">
        <v>404</v>
      </c>
      <c r="E1532" s="510">
        <v>0</v>
      </c>
      <c r="F1532" s="520">
        <f t="shared" ref="F1532:G1533" si="1213">E1532*1.1</f>
        <v>0</v>
      </c>
      <c r="G1532" s="520">
        <f t="shared" si="1213"/>
        <v>0</v>
      </c>
      <c r="H1532" s="132"/>
    </row>
    <row r="1533" spans="1:8" s="295" customFormat="1" outlineLevel="3">
      <c r="A1533" s="508"/>
      <c r="B1533" s="508"/>
      <c r="C1533" s="517">
        <v>3110204</v>
      </c>
      <c r="D1533" s="518" t="s">
        <v>405</v>
      </c>
      <c r="E1533" s="510">
        <v>20000000</v>
      </c>
      <c r="F1533" s="520">
        <f t="shared" si="1213"/>
        <v>22000000</v>
      </c>
      <c r="G1533" s="520">
        <f t="shared" si="1213"/>
        <v>24200000.000000004</v>
      </c>
      <c r="H1533" s="132"/>
    </row>
    <row r="1534" spans="1:8" s="295" customFormat="1" outlineLevel="3">
      <c r="A1534" s="508"/>
      <c r="B1534" s="508"/>
      <c r="C1534" s="515">
        <v>3111100</v>
      </c>
      <c r="D1534" s="514" t="s">
        <v>406</v>
      </c>
      <c r="E1534" s="521">
        <f>SUM(E1535:E1535)</f>
        <v>21000000</v>
      </c>
      <c r="F1534" s="521">
        <f t="shared" ref="F1534:G1534" si="1214">SUM(F1535:F1535)</f>
        <v>23100000.000000004</v>
      </c>
      <c r="G1534" s="521">
        <f t="shared" si="1214"/>
        <v>25410000.000000007</v>
      </c>
      <c r="H1534" s="132"/>
    </row>
    <row r="1535" spans="1:8" s="295" customFormat="1" outlineLevel="3">
      <c r="A1535" s="508"/>
      <c r="B1535" s="508"/>
      <c r="C1535" s="517">
        <v>3111101</v>
      </c>
      <c r="D1535" s="527" t="s">
        <v>407</v>
      </c>
      <c r="E1535" s="510">
        <v>21000000</v>
      </c>
      <c r="F1535" s="520">
        <f t="shared" ref="F1535:G1535" si="1215">E1535*1.1</f>
        <v>23100000.000000004</v>
      </c>
      <c r="G1535" s="520">
        <f t="shared" si="1215"/>
        <v>25410000.000000007</v>
      </c>
      <c r="H1535" s="132"/>
    </row>
    <row r="1536" spans="1:8" s="295" customFormat="1" outlineLevel="3">
      <c r="A1536" s="508"/>
      <c r="B1536" s="508"/>
      <c r="C1536" s="508" t="s">
        <v>397</v>
      </c>
      <c r="D1536" s="522" t="s">
        <v>398</v>
      </c>
      <c r="E1536" s="523">
        <f>E1537</f>
        <v>19500000</v>
      </c>
      <c r="F1536" s="523">
        <f t="shared" ref="F1536:G1536" si="1216">F1537</f>
        <v>21450000</v>
      </c>
      <c r="G1536" s="523">
        <f t="shared" si="1216"/>
        <v>23595000.000000004</v>
      </c>
      <c r="H1536" s="132"/>
    </row>
    <row r="1537" spans="1:8" s="295" customFormat="1" ht="30" outlineLevel="3">
      <c r="A1537" s="508"/>
      <c r="B1537" s="508"/>
      <c r="C1537" s="525">
        <v>2640101</v>
      </c>
      <c r="D1537" s="526" t="s">
        <v>408</v>
      </c>
      <c r="E1537" s="510">
        <f>25%*78000000</f>
        <v>19500000</v>
      </c>
      <c r="F1537" s="520">
        <f>E1537*1.1</f>
        <v>21450000</v>
      </c>
      <c r="G1537" s="520">
        <f>F1537*1.1</f>
        <v>23595000.000000004</v>
      </c>
      <c r="H1537" s="132"/>
    </row>
    <row r="1538" spans="1:8" s="295" customFormat="1" outlineLevel="2">
      <c r="A1538" s="508"/>
      <c r="B1538" s="508"/>
      <c r="C1538" s="515" t="s">
        <v>409</v>
      </c>
      <c r="D1538" s="514"/>
      <c r="E1538" s="521">
        <f>E1531+E1536+E1534</f>
        <v>60500000</v>
      </c>
      <c r="F1538" s="521">
        <f t="shared" ref="F1538:G1538" si="1217">F1531+F1536+F1534</f>
        <v>66550000</v>
      </c>
      <c r="G1538" s="521">
        <f t="shared" si="1217"/>
        <v>73205000.000000015</v>
      </c>
      <c r="H1538" s="132"/>
    </row>
    <row r="1539" spans="1:8" s="295" customFormat="1" outlineLevel="1">
      <c r="A1539" s="508"/>
      <c r="B1539" s="508"/>
      <c r="C1539" s="513" t="s">
        <v>410</v>
      </c>
      <c r="D1539" s="514"/>
      <c r="E1539" s="521">
        <f>E1528+E1538</f>
        <v>150359202.36125612</v>
      </c>
      <c r="F1539" s="521">
        <f>F1528+F1538</f>
        <v>165395122.59738174</v>
      </c>
      <c r="G1539" s="516">
        <f>G1528+G1538</f>
        <v>181934634.85711995</v>
      </c>
      <c r="H1539" s="132"/>
    </row>
    <row r="1540" spans="1:8" s="295" customFormat="1" outlineLevel="1">
      <c r="A1540" s="508"/>
      <c r="B1540" s="508"/>
      <c r="C1540" s="515"/>
      <c r="D1540" s="514"/>
      <c r="E1540" s="510"/>
      <c r="F1540" s="511"/>
      <c r="G1540" s="528"/>
      <c r="H1540" s="132"/>
    </row>
    <row r="1541" spans="1:8" s="295" customFormat="1" outlineLevel="1">
      <c r="A1541" s="508"/>
      <c r="B1541" s="508" t="s">
        <v>361</v>
      </c>
      <c r="C1541" s="515" t="s">
        <v>411</v>
      </c>
      <c r="D1541" s="514"/>
      <c r="E1541" s="510"/>
      <c r="F1541" s="511"/>
      <c r="G1541" s="528"/>
      <c r="H1541" s="132"/>
    </row>
    <row r="1542" spans="1:8" s="295" customFormat="1" outlineLevel="1">
      <c r="A1542" s="508"/>
      <c r="B1542" s="508"/>
      <c r="C1542" s="513" t="s">
        <v>412</v>
      </c>
      <c r="D1542" s="514"/>
      <c r="E1542" s="510"/>
      <c r="F1542" s="511"/>
      <c r="G1542" s="528"/>
      <c r="H1542" s="132"/>
    </row>
    <row r="1543" spans="1:8" s="295" customFormat="1" outlineLevel="1">
      <c r="A1543" s="508"/>
      <c r="B1543" s="508"/>
      <c r="C1543" s="513" t="s">
        <v>413</v>
      </c>
      <c r="D1543" s="514"/>
      <c r="E1543" s="510"/>
      <c r="F1543" s="511"/>
      <c r="G1543" s="528"/>
      <c r="H1543" s="132"/>
    </row>
    <row r="1544" spans="1:8" s="295" customFormat="1" outlineLevel="1">
      <c r="A1544" s="508"/>
      <c r="B1544" s="508"/>
      <c r="C1544" s="513" t="s">
        <v>414</v>
      </c>
      <c r="D1544" s="514"/>
      <c r="E1544" s="510"/>
      <c r="F1544" s="511"/>
      <c r="G1544" s="528"/>
      <c r="H1544" s="132"/>
    </row>
    <row r="1545" spans="1:8" s="295" customFormat="1" outlineLevel="3">
      <c r="A1545" s="508"/>
      <c r="B1545" s="508"/>
      <c r="C1545" s="515">
        <v>2210200</v>
      </c>
      <c r="D1545" s="514" t="s">
        <v>19</v>
      </c>
      <c r="E1545" s="521">
        <f>SUM(E1546:E1548)</f>
        <v>740656</v>
      </c>
      <c r="F1545" s="521">
        <f t="shared" ref="F1545:G1545" si="1218">SUM(F1546:F1548)</f>
        <v>814721.60000000009</v>
      </c>
      <c r="G1545" s="521">
        <f t="shared" si="1218"/>
        <v>896193.76000000013</v>
      </c>
      <c r="H1545" s="132"/>
    </row>
    <row r="1546" spans="1:8" s="295" customFormat="1" outlineLevel="3">
      <c r="A1546" s="508"/>
      <c r="B1546" s="508"/>
      <c r="C1546" s="517">
        <v>2210201</v>
      </c>
      <c r="D1546" s="518" t="s">
        <v>236</v>
      </c>
      <c r="E1546" s="510">
        <v>328000</v>
      </c>
      <c r="F1546" s="520">
        <f t="shared" ref="F1546:G1565" si="1219">E1546*1.1</f>
        <v>360800.00000000006</v>
      </c>
      <c r="G1546" s="520">
        <f t="shared" si="1219"/>
        <v>396880.00000000012</v>
      </c>
      <c r="H1546" s="132"/>
    </row>
    <row r="1547" spans="1:8" s="295" customFormat="1" outlineLevel="3">
      <c r="A1547" s="508"/>
      <c r="B1547" s="508"/>
      <c r="C1547" s="517">
        <v>2210202</v>
      </c>
      <c r="D1547" s="518" t="s">
        <v>21</v>
      </c>
      <c r="E1547" s="510">
        <v>374396</v>
      </c>
      <c r="F1547" s="520">
        <f t="shared" si="1219"/>
        <v>411835.60000000003</v>
      </c>
      <c r="G1547" s="520">
        <f t="shared" si="1219"/>
        <v>453019.16000000009</v>
      </c>
      <c r="H1547" s="132"/>
    </row>
    <row r="1548" spans="1:8" s="295" customFormat="1" outlineLevel="3">
      <c r="A1548" s="508"/>
      <c r="B1548" s="508"/>
      <c r="C1548" s="517">
        <v>2210203</v>
      </c>
      <c r="D1548" s="518" t="s">
        <v>22</v>
      </c>
      <c r="E1548" s="510">
        <v>38260</v>
      </c>
      <c r="F1548" s="520">
        <f t="shared" si="1219"/>
        <v>42086</v>
      </c>
      <c r="G1548" s="520">
        <f t="shared" si="1219"/>
        <v>46294.600000000006</v>
      </c>
      <c r="H1548" s="132"/>
    </row>
    <row r="1549" spans="1:8" s="295" customFormat="1" ht="30" outlineLevel="3">
      <c r="A1549" s="508"/>
      <c r="B1549" s="508"/>
      <c r="C1549" s="515">
        <v>2210300</v>
      </c>
      <c r="D1549" s="514" t="s">
        <v>23</v>
      </c>
      <c r="E1549" s="521">
        <f>SUM(E1550:E1553)</f>
        <v>2506110.048</v>
      </c>
      <c r="F1549" s="521">
        <f t="shared" ref="F1549:G1549" si="1220">SUM(F1550:F1553)</f>
        <v>2756721.0528000002</v>
      </c>
      <c r="G1549" s="521">
        <f t="shared" si="1220"/>
        <v>3032393.1580800009</v>
      </c>
      <c r="H1549" s="132"/>
    </row>
    <row r="1550" spans="1:8" s="295" customFormat="1" outlineLevel="3">
      <c r="A1550" s="508"/>
      <c r="B1550" s="508"/>
      <c r="C1550" s="517">
        <v>2210301</v>
      </c>
      <c r="D1550" s="518" t="s">
        <v>208</v>
      </c>
      <c r="E1550" s="510">
        <v>650650</v>
      </c>
      <c r="F1550" s="520">
        <f t="shared" si="1219"/>
        <v>715715</v>
      </c>
      <c r="G1550" s="520">
        <f t="shared" si="1219"/>
        <v>787286.50000000012</v>
      </c>
      <c r="H1550" s="132"/>
    </row>
    <row r="1551" spans="1:8" s="295" customFormat="1" outlineLevel="3">
      <c r="A1551" s="508"/>
      <c r="B1551" s="508"/>
      <c r="C1551" s="517">
        <v>2210302</v>
      </c>
      <c r="D1551" s="518" t="s">
        <v>25</v>
      </c>
      <c r="E1551" s="510">
        <v>660928.04799999995</v>
      </c>
      <c r="F1551" s="520">
        <f t="shared" si="1219"/>
        <v>727020.85279999999</v>
      </c>
      <c r="G1551" s="520">
        <f t="shared" si="1219"/>
        <v>799722.93808000011</v>
      </c>
      <c r="H1551" s="132"/>
    </row>
    <row r="1552" spans="1:8" s="295" customFormat="1" outlineLevel="3">
      <c r="A1552" s="508"/>
      <c r="B1552" s="508"/>
      <c r="C1552" s="517">
        <v>2210303</v>
      </c>
      <c r="D1552" s="518" t="s">
        <v>259</v>
      </c>
      <c r="E1552" s="510">
        <v>730400</v>
      </c>
      <c r="F1552" s="520">
        <f t="shared" si="1219"/>
        <v>803440.00000000012</v>
      </c>
      <c r="G1552" s="520">
        <f t="shared" si="1219"/>
        <v>883784.00000000023</v>
      </c>
      <c r="H1552" s="132"/>
    </row>
    <row r="1553" spans="1:8" s="295" customFormat="1" outlineLevel="3">
      <c r="A1553" s="508"/>
      <c r="B1553" s="508"/>
      <c r="C1553" s="517">
        <v>2211399</v>
      </c>
      <c r="D1553" s="529" t="s">
        <v>55</v>
      </c>
      <c r="E1553" s="510">
        <v>464132</v>
      </c>
      <c r="F1553" s="520">
        <f t="shared" si="1219"/>
        <v>510545.20000000007</v>
      </c>
      <c r="G1553" s="520">
        <f t="shared" si="1219"/>
        <v>561599.72000000009</v>
      </c>
      <c r="H1553" s="132"/>
    </row>
    <row r="1554" spans="1:8" s="295" customFormat="1" outlineLevel="3">
      <c r="A1554" s="508"/>
      <c r="B1554" s="508"/>
      <c r="C1554" s="515">
        <v>2210400</v>
      </c>
      <c r="D1554" s="514" t="s">
        <v>381</v>
      </c>
      <c r="E1554" s="521">
        <f>SUM(E1555:E1556)</f>
        <v>211000</v>
      </c>
      <c r="F1554" s="521">
        <f t="shared" ref="F1554:G1554" si="1221">SUM(F1555:F1556)</f>
        <v>232100</v>
      </c>
      <c r="G1554" s="521">
        <f t="shared" si="1221"/>
        <v>255310.00000000003</v>
      </c>
      <c r="H1554" s="132"/>
    </row>
    <row r="1555" spans="1:8" s="295" customFormat="1" outlineLevel="3">
      <c r="A1555" s="508"/>
      <c r="B1555" s="508"/>
      <c r="C1555" s="517">
        <v>2210401</v>
      </c>
      <c r="D1555" s="518" t="s">
        <v>210</v>
      </c>
      <c r="E1555" s="510">
        <v>109378</v>
      </c>
      <c r="F1555" s="520">
        <f t="shared" si="1219"/>
        <v>120315.8</v>
      </c>
      <c r="G1555" s="520">
        <f t="shared" si="1219"/>
        <v>132347.38</v>
      </c>
      <c r="H1555" s="132"/>
    </row>
    <row r="1556" spans="1:8" s="295" customFormat="1" outlineLevel="3">
      <c r="A1556" s="508"/>
      <c r="B1556" s="508"/>
      <c r="C1556" s="517">
        <v>2210402</v>
      </c>
      <c r="D1556" s="518" t="s">
        <v>211</v>
      </c>
      <c r="E1556" s="510">
        <v>101622</v>
      </c>
      <c r="F1556" s="520">
        <f t="shared" si="1219"/>
        <v>111784.20000000001</v>
      </c>
      <c r="G1556" s="520">
        <f t="shared" si="1219"/>
        <v>122962.62000000002</v>
      </c>
      <c r="H1556" s="132"/>
    </row>
    <row r="1557" spans="1:8" s="295" customFormat="1" outlineLevel="3">
      <c r="A1557" s="508"/>
      <c r="B1557" s="508"/>
      <c r="C1557" s="515">
        <v>2210500</v>
      </c>
      <c r="D1557" s="514" t="s">
        <v>30</v>
      </c>
      <c r="E1557" s="521">
        <f>SUM(E1558:E1561)</f>
        <v>1417522.3</v>
      </c>
      <c r="F1557" s="521">
        <f t="shared" ref="F1557:G1557" si="1222">SUM(F1558:F1561)</f>
        <v>1559274.53</v>
      </c>
      <c r="G1557" s="521">
        <f t="shared" si="1222"/>
        <v>1715201.983</v>
      </c>
      <c r="H1557" s="132"/>
    </row>
    <row r="1558" spans="1:8" s="295" customFormat="1" outlineLevel="3">
      <c r="A1558" s="508"/>
      <c r="B1558" s="508"/>
      <c r="C1558" s="517">
        <v>2210502</v>
      </c>
      <c r="D1558" s="518" t="s">
        <v>162</v>
      </c>
      <c r="E1558" s="510">
        <v>340582</v>
      </c>
      <c r="F1558" s="520">
        <f t="shared" si="1219"/>
        <v>374640.2</v>
      </c>
      <c r="G1558" s="520">
        <f t="shared" si="1219"/>
        <v>412104.22000000003</v>
      </c>
      <c r="H1558" s="132"/>
    </row>
    <row r="1559" spans="1:8" s="295" customFormat="1" outlineLevel="3">
      <c r="A1559" s="508"/>
      <c r="B1559" s="508"/>
      <c r="C1559" s="517">
        <v>2210503</v>
      </c>
      <c r="D1559" s="518" t="s">
        <v>31</v>
      </c>
      <c r="E1559" s="510">
        <v>173800</v>
      </c>
      <c r="F1559" s="520">
        <f t="shared" si="1219"/>
        <v>191180.00000000003</v>
      </c>
      <c r="G1559" s="520">
        <f t="shared" si="1219"/>
        <v>210298.00000000006</v>
      </c>
      <c r="H1559" s="132"/>
    </row>
    <row r="1560" spans="1:8" s="295" customFormat="1" ht="30" outlineLevel="3">
      <c r="A1560" s="508"/>
      <c r="B1560" s="508"/>
      <c r="C1560" s="517">
        <v>2210505</v>
      </c>
      <c r="D1560" s="518" t="s">
        <v>415</v>
      </c>
      <c r="E1560" s="510">
        <v>343140.3</v>
      </c>
      <c r="F1560" s="520">
        <f t="shared" si="1219"/>
        <v>377454.33</v>
      </c>
      <c r="G1560" s="520">
        <f t="shared" si="1219"/>
        <v>415199.76300000004</v>
      </c>
      <c r="H1560" s="132"/>
    </row>
    <row r="1561" spans="1:8" s="295" customFormat="1" outlineLevel="3">
      <c r="A1561" s="508"/>
      <c r="B1561" s="508"/>
      <c r="C1561" s="517">
        <v>2210505</v>
      </c>
      <c r="D1561" s="518" t="s">
        <v>213</v>
      </c>
      <c r="E1561" s="510">
        <v>560000</v>
      </c>
      <c r="F1561" s="520">
        <f t="shared" si="1219"/>
        <v>616000</v>
      </c>
      <c r="G1561" s="520">
        <f t="shared" si="1219"/>
        <v>677600</v>
      </c>
      <c r="H1561" s="132"/>
    </row>
    <row r="1562" spans="1:8" s="295" customFormat="1" outlineLevel="3">
      <c r="A1562" s="508"/>
      <c r="B1562" s="508"/>
      <c r="C1562" s="515">
        <v>2210700</v>
      </c>
      <c r="D1562" s="514" t="s">
        <v>34</v>
      </c>
      <c r="E1562" s="521">
        <f>SUM(E1563:E1566)</f>
        <v>3239319</v>
      </c>
      <c r="F1562" s="521">
        <f t="shared" ref="F1562:G1562" si="1223">SUM(F1563:F1566)</f>
        <v>3563250.9000000004</v>
      </c>
      <c r="G1562" s="521">
        <f t="shared" si="1223"/>
        <v>3919575.99</v>
      </c>
      <c r="H1562" s="132"/>
    </row>
    <row r="1563" spans="1:8" s="295" customFormat="1" outlineLevel="3">
      <c r="A1563" s="508"/>
      <c r="B1563" s="508"/>
      <c r="C1563" s="517">
        <v>2210701</v>
      </c>
      <c r="D1563" s="518" t="s">
        <v>416</v>
      </c>
      <c r="E1563" s="510">
        <v>741000</v>
      </c>
      <c r="F1563" s="520">
        <f>E1563*1.1</f>
        <v>815100.00000000012</v>
      </c>
      <c r="G1563" s="520">
        <f>F1563*1.1</f>
        <v>896610.00000000023</v>
      </c>
      <c r="H1563" s="132"/>
    </row>
    <row r="1564" spans="1:8" s="295" customFormat="1" outlineLevel="3">
      <c r="A1564" s="508"/>
      <c r="B1564" s="508"/>
      <c r="C1564" s="517">
        <v>2210703</v>
      </c>
      <c r="D1564" s="518" t="s">
        <v>166</v>
      </c>
      <c r="E1564" s="510">
        <v>695519</v>
      </c>
      <c r="F1564" s="520">
        <f t="shared" si="1219"/>
        <v>765070.9</v>
      </c>
      <c r="G1564" s="520">
        <f t="shared" si="1219"/>
        <v>841577.99000000011</v>
      </c>
      <c r="H1564" s="132"/>
    </row>
    <row r="1565" spans="1:8" s="295" customFormat="1" outlineLevel="3">
      <c r="A1565" s="508"/>
      <c r="B1565" s="508"/>
      <c r="C1565" s="517">
        <v>2210712</v>
      </c>
      <c r="D1565" s="518" t="s">
        <v>417</v>
      </c>
      <c r="E1565" s="510">
        <v>932800</v>
      </c>
      <c r="F1565" s="520">
        <f t="shared" si="1219"/>
        <v>1026080.0000000001</v>
      </c>
      <c r="G1565" s="520">
        <f t="shared" si="1219"/>
        <v>1128688.0000000002</v>
      </c>
      <c r="H1565" s="132"/>
    </row>
    <row r="1566" spans="1:8" s="295" customFormat="1" ht="30" outlineLevel="3">
      <c r="A1566" s="508"/>
      <c r="B1566" s="508"/>
      <c r="C1566" s="517">
        <v>2210799</v>
      </c>
      <c r="D1566" s="518" t="s">
        <v>418</v>
      </c>
      <c r="E1566" s="510">
        <v>870000</v>
      </c>
      <c r="F1566" s="520">
        <f>E1566*1.1</f>
        <v>957000.00000000012</v>
      </c>
      <c r="G1566" s="520">
        <f>F1566*1.1</f>
        <v>1052700.0000000002</v>
      </c>
      <c r="H1566" s="132"/>
    </row>
    <row r="1567" spans="1:8" s="295" customFormat="1" outlineLevel="3">
      <c r="A1567" s="508"/>
      <c r="B1567" s="508"/>
      <c r="C1567" s="515">
        <v>2210800</v>
      </c>
      <c r="D1567" s="514" t="s">
        <v>41</v>
      </c>
      <c r="E1567" s="521">
        <f>SUM(E1568:E1569)</f>
        <v>1644400</v>
      </c>
      <c r="F1567" s="521">
        <f t="shared" ref="F1567:G1567" si="1224">SUM(F1568:F1569)</f>
        <v>1808840.0000000002</v>
      </c>
      <c r="G1567" s="521">
        <f t="shared" si="1224"/>
        <v>1989724.0000000005</v>
      </c>
      <c r="H1567" s="132"/>
    </row>
    <row r="1568" spans="1:8" s="295" customFormat="1" ht="45" outlineLevel="3">
      <c r="A1568" s="508"/>
      <c r="B1568" s="508"/>
      <c r="C1568" s="517">
        <v>2210801</v>
      </c>
      <c r="D1568" s="518" t="s">
        <v>382</v>
      </c>
      <c r="E1568" s="510">
        <v>950400</v>
      </c>
      <c r="F1568" s="520">
        <f t="shared" ref="F1568:G1586" si="1225">E1568*1.1</f>
        <v>1045440.0000000001</v>
      </c>
      <c r="G1568" s="520">
        <f t="shared" si="1225"/>
        <v>1149984.0000000002</v>
      </c>
      <c r="H1568" s="132"/>
    </row>
    <row r="1569" spans="1:8" s="295" customFormat="1" ht="30" outlineLevel="3">
      <c r="A1569" s="508"/>
      <c r="B1569" s="508"/>
      <c r="C1569" s="517">
        <v>2210802</v>
      </c>
      <c r="D1569" s="518" t="s">
        <v>419</v>
      </c>
      <c r="E1569" s="510">
        <v>694000</v>
      </c>
      <c r="F1569" s="520">
        <f t="shared" si="1225"/>
        <v>763400.00000000012</v>
      </c>
      <c r="G1569" s="520">
        <f t="shared" si="1225"/>
        <v>839740.00000000023</v>
      </c>
      <c r="H1569" s="132"/>
    </row>
    <row r="1570" spans="1:8" s="295" customFormat="1" outlineLevel="3">
      <c r="A1570" s="508"/>
      <c r="B1570" s="508"/>
      <c r="C1570" s="515">
        <v>2211100</v>
      </c>
      <c r="D1570" s="514" t="s">
        <v>49</v>
      </c>
      <c r="E1570" s="521">
        <f>SUM(E1571:E1573)</f>
        <v>1643400</v>
      </c>
      <c r="F1570" s="521">
        <f t="shared" ref="F1570:G1570" si="1226">SUM(F1571:F1573)</f>
        <v>1807740.0000000002</v>
      </c>
      <c r="G1570" s="521">
        <f t="shared" si="1226"/>
        <v>1988514.0000000005</v>
      </c>
      <c r="H1570" s="132"/>
    </row>
    <row r="1571" spans="1:8" s="295" customFormat="1" ht="30" outlineLevel="3">
      <c r="A1571" s="508"/>
      <c r="B1571" s="508"/>
      <c r="C1571" s="517">
        <v>2211101</v>
      </c>
      <c r="D1571" s="518" t="s">
        <v>50</v>
      </c>
      <c r="E1571" s="510">
        <f>660000</f>
        <v>660000</v>
      </c>
      <c r="F1571" s="520">
        <f t="shared" si="1225"/>
        <v>726000.00000000012</v>
      </c>
      <c r="G1571" s="520">
        <f t="shared" si="1225"/>
        <v>798600.00000000023</v>
      </c>
      <c r="H1571" s="132"/>
    </row>
    <row r="1572" spans="1:8" s="295" customFormat="1" outlineLevel="3">
      <c r="A1572" s="508"/>
      <c r="B1572" s="508"/>
      <c r="C1572" s="517">
        <v>2211102</v>
      </c>
      <c r="D1572" s="518" t="s">
        <v>51</v>
      </c>
      <c r="E1572" s="510">
        <v>712800</v>
      </c>
      <c r="F1572" s="520">
        <f t="shared" si="1225"/>
        <v>784080.00000000012</v>
      </c>
      <c r="G1572" s="520">
        <f t="shared" si="1225"/>
        <v>862488.00000000023</v>
      </c>
      <c r="H1572" s="132"/>
    </row>
    <row r="1573" spans="1:8" s="295" customFormat="1" outlineLevel="3">
      <c r="A1573" s="508"/>
      <c r="B1573" s="508"/>
      <c r="C1573" s="517">
        <v>2211103</v>
      </c>
      <c r="D1573" s="518" t="s">
        <v>52</v>
      </c>
      <c r="E1573" s="510">
        <v>270600</v>
      </c>
      <c r="F1573" s="520">
        <f t="shared" si="1225"/>
        <v>297660</v>
      </c>
      <c r="G1573" s="520">
        <f t="shared" si="1225"/>
        <v>327426</v>
      </c>
      <c r="H1573" s="132"/>
    </row>
    <row r="1574" spans="1:8" s="295" customFormat="1" outlineLevel="3">
      <c r="A1574" s="508"/>
      <c r="B1574" s="508"/>
      <c r="C1574" s="515">
        <v>2211200</v>
      </c>
      <c r="D1574" s="530" t="s">
        <v>53</v>
      </c>
      <c r="E1574" s="521">
        <f>SUM(E1575:E1575)</f>
        <v>1539400</v>
      </c>
      <c r="F1574" s="521">
        <f t="shared" ref="F1574:G1574" si="1227">SUM(F1575:F1575)</f>
        <v>1693340.0000000002</v>
      </c>
      <c r="G1574" s="521">
        <f t="shared" si="1227"/>
        <v>1862674.0000000005</v>
      </c>
      <c r="H1574" s="132"/>
    </row>
    <row r="1575" spans="1:8" s="295" customFormat="1" outlineLevel="3">
      <c r="A1575" s="508"/>
      <c r="B1575" s="508"/>
      <c r="C1575" s="517">
        <v>2211201</v>
      </c>
      <c r="D1575" s="529" t="s">
        <v>91</v>
      </c>
      <c r="E1575" s="510">
        <v>1539400</v>
      </c>
      <c r="F1575" s="520">
        <f t="shared" si="1225"/>
        <v>1693340.0000000002</v>
      </c>
      <c r="G1575" s="520">
        <f t="shared" si="1225"/>
        <v>1862674.0000000005</v>
      </c>
      <c r="H1575" s="132"/>
    </row>
    <row r="1576" spans="1:8" s="295" customFormat="1" outlineLevel="3">
      <c r="A1576" s="508"/>
      <c r="B1576" s="508"/>
      <c r="C1576" s="515">
        <v>2211300</v>
      </c>
      <c r="D1576" s="514" t="s">
        <v>55</v>
      </c>
      <c r="E1576" s="521">
        <f>E1577</f>
        <v>259600</v>
      </c>
      <c r="F1576" s="521">
        <f t="shared" ref="F1576:G1576" si="1228">F1577</f>
        <v>285560</v>
      </c>
      <c r="G1576" s="521">
        <f t="shared" si="1228"/>
        <v>314116</v>
      </c>
      <c r="H1576" s="132"/>
    </row>
    <row r="1577" spans="1:8" s="295" customFormat="1" outlineLevel="3">
      <c r="A1577" s="508"/>
      <c r="B1577" s="508"/>
      <c r="C1577" s="517">
        <v>2211306</v>
      </c>
      <c r="D1577" s="518" t="s">
        <v>396</v>
      </c>
      <c r="E1577" s="510">
        <v>259600</v>
      </c>
      <c r="F1577" s="520">
        <f>E1577*1.1</f>
        <v>285560</v>
      </c>
      <c r="G1577" s="520">
        <f>F1577*1.1</f>
        <v>314116</v>
      </c>
      <c r="H1577" s="132"/>
    </row>
    <row r="1578" spans="1:8" s="295" customFormat="1" ht="30" outlineLevel="3">
      <c r="A1578" s="508"/>
      <c r="B1578" s="508"/>
      <c r="C1578" s="515">
        <v>2220100</v>
      </c>
      <c r="D1578" s="514" t="s">
        <v>61</v>
      </c>
      <c r="E1578" s="521">
        <f>E1579</f>
        <v>1272220.96</v>
      </c>
      <c r="F1578" s="521">
        <f t="shared" ref="F1578:G1578" si="1229">F1579</f>
        <v>1399443.0560000001</v>
      </c>
      <c r="G1578" s="521">
        <f t="shared" si="1229"/>
        <v>1539387.3616000002</v>
      </c>
      <c r="H1578" s="132"/>
    </row>
    <row r="1579" spans="1:8" s="295" customFormat="1" outlineLevel="3">
      <c r="A1579" s="508"/>
      <c r="B1579" s="508"/>
      <c r="C1579" s="517">
        <v>2220101</v>
      </c>
      <c r="D1579" s="518" t="s">
        <v>225</v>
      </c>
      <c r="E1579" s="510">
        <v>1272220.96</v>
      </c>
      <c r="F1579" s="520">
        <f t="shared" si="1225"/>
        <v>1399443.0560000001</v>
      </c>
      <c r="G1579" s="520">
        <f t="shared" si="1225"/>
        <v>1539387.3616000002</v>
      </c>
      <c r="H1579" s="132"/>
    </row>
    <row r="1580" spans="1:8" s="295" customFormat="1" outlineLevel="3">
      <c r="A1580" s="508"/>
      <c r="B1580" s="508"/>
      <c r="C1580" s="515">
        <v>2220200</v>
      </c>
      <c r="D1580" s="514" t="s">
        <v>179</v>
      </c>
      <c r="E1580" s="521">
        <f>E1581</f>
        <v>684578</v>
      </c>
      <c r="F1580" s="521">
        <f t="shared" ref="F1580:G1580" si="1230">F1581</f>
        <v>753035.8</v>
      </c>
      <c r="G1580" s="521">
        <f t="shared" si="1230"/>
        <v>828339.38000000012</v>
      </c>
      <c r="H1580" s="132"/>
    </row>
    <row r="1581" spans="1:8" s="295" customFormat="1" outlineLevel="3">
      <c r="A1581" s="508"/>
      <c r="B1581" s="508"/>
      <c r="C1581" s="517">
        <v>2220205</v>
      </c>
      <c r="D1581" s="518" t="s">
        <v>180</v>
      </c>
      <c r="E1581" s="510">
        <v>684578</v>
      </c>
      <c r="F1581" s="520">
        <f t="shared" si="1225"/>
        <v>753035.8</v>
      </c>
      <c r="G1581" s="520">
        <f t="shared" si="1225"/>
        <v>828339.38000000012</v>
      </c>
      <c r="H1581" s="132"/>
    </row>
    <row r="1582" spans="1:8" s="295" customFormat="1" outlineLevel="3">
      <c r="A1582" s="508"/>
      <c r="B1582" s="508"/>
      <c r="C1582" s="515">
        <v>3111000</v>
      </c>
      <c r="D1582" s="530" t="s">
        <v>420</v>
      </c>
      <c r="E1582" s="521">
        <f>SUM(E1583:E1584)</f>
        <v>1015938</v>
      </c>
      <c r="F1582" s="521">
        <f t="shared" ref="F1582:G1582" si="1231">SUM(F1583:F1584)</f>
        <v>1117531.8</v>
      </c>
      <c r="G1582" s="521">
        <f t="shared" si="1231"/>
        <v>1229284.9800000002</v>
      </c>
      <c r="H1582" s="132"/>
    </row>
    <row r="1583" spans="1:8" s="295" customFormat="1" outlineLevel="3">
      <c r="A1583" s="508"/>
      <c r="B1583" s="508"/>
      <c r="C1583" s="517">
        <v>3111002</v>
      </c>
      <c r="D1583" s="518" t="s">
        <v>421</v>
      </c>
      <c r="E1583" s="510">
        <v>650338</v>
      </c>
      <c r="F1583" s="520">
        <f t="shared" si="1225"/>
        <v>715371.8</v>
      </c>
      <c r="G1583" s="520">
        <f t="shared" si="1225"/>
        <v>786908.9800000001</v>
      </c>
      <c r="H1583" s="132"/>
    </row>
    <row r="1584" spans="1:8" s="295" customFormat="1" outlineLevel="3">
      <c r="A1584" s="508"/>
      <c r="B1584" s="508"/>
      <c r="C1584" s="517">
        <v>3111009</v>
      </c>
      <c r="D1584" s="518" t="s">
        <v>422</v>
      </c>
      <c r="E1584" s="510">
        <v>365600</v>
      </c>
      <c r="F1584" s="520">
        <f t="shared" si="1225"/>
        <v>402160.00000000006</v>
      </c>
      <c r="G1584" s="520">
        <f t="shared" si="1225"/>
        <v>442376.00000000012</v>
      </c>
      <c r="H1584" s="132"/>
    </row>
    <row r="1585" spans="1:8" s="295" customFormat="1" ht="30" outlineLevel="3">
      <c r="A1585" s="508"/>
      <c r="B1585" s="508"/>
      <c r="C1585" s="515">
        <v>3111400</v>
      </c>
      <c r="D1585" s="704" t="s">
        <v>401</v>
      </c>
      <c r="E1585" s="521">
        <f>SUM(E1586:E1586)</f>
        <v>330001</v>
      </c>
      <c r="F1585" s="521">
        <f t="shared" ref="F1585:G1585" si="1232">SUM(F1586:F1586)</f>
        <v>363001.10000000003</v>
      </c>
      <c r="G1585" s="521">
        <f t="shared" si="1232"/>
        <v>399301.21000000008</v>
      </c>
      <c r="H1585" s="132"/>
    </row>
    <row r="1586" spans="1:8" s="295" customFormat="1" ht="30" outlineLevel="3">
      <c r="A1586" s="508"/>
      <c r="B1586" s="508"/>
      <c r="C1586" s="517">
        <v>3111401</v>
      </c>
      <c r="D1586" s="518" t="s">
        <v>423</v>
      </c>
      <c r="E1586" s="510">
        <v>330001</v>
      </c>
      <c r="F1586" s="520">
        <f t="shared" si="1225"/>
        <v>363001.10000000003</v>
      </c>
      <c r="G1586" s="520">
        <f t="shared" si="1225"/>
        <v>399301.21000000008</v>
      </c>
      <c r="H1586" s="132"/>
    </row>
    <row r="1587" spans="1:8" s="295" customFormat="1" outlineLevel="2">
      <c r="A1587" s="508"/>
      <c r="B1587" s="508"/>
      <c r="C1587" s="515" t="s">
        <v>101</v>
      </c>
      <c r="D1587" s="514"/>
      <c r="E1587" s="521">
        <f>E1545+E1549+E1554+E1557+E1562+E1567+E1570+E1574+E1576+E1578+E1580+E1582+E1585</f>
        <v>16504145.308000002</v>
      </c>
      <c r="F1587" s="521">
        <f t="shared" ref="F1587:G1587" si="1233">F1545+F1549+F1554+F1557+F1562+F1567+F1570+F1574+F1576+F1578+F1580+F1582+F1585</f>
        <v>18154559.838800002</v>
      </c>
      <c r="G1587" s="521">
        <f t="shared" si="1233"/>
        <v>19970015.82268</v>
      </c>
      <c r="H1587" s="132"/>
    </row>
    <row r="1588" spans="1:8" s="295" customFormat="1" outlineLevel="2">
      <c r="A1588" s="508"/>
      <c r="B1588" s="508"/>
      <c r="C1588" s="515"/>
      <c r="D1588" s="514"/>
      <c r="E1588" s="510"/>
      <c r="F1588" s="511"/>
      <c r="G1588" s="511"/>
      <c r="H1588" s="132"/>
    </row>
    <row r="1589" spans="1:8" s="295" customFormat="1" outlineLevel="2">
      <c r="A1589" s="508"/>
      <c r="B1589" s="508"/>
      <c r="C1589" s="512"/>
      <c r="D1589" s="531" t="s">
        <v>184</v>
      </c>
      <c r="E1589" s="510"/>
      <c r="F1589" s="511"/>
      <c r="G1589" s="511"/>
      <c r="H1589" s="132"/>
    </row>
    <row r="1590" spans="1:8" s="295" customFormat="1" outlineLevel="3">
      <c r="A1590" s="508"/>
      <c r="B1590" s="508"/>
      <c r="C1590" s="515">
        <v>3110500</v>
      </c>
      <c r="D1590" s="514" t="s">
        <v>424</v>
      </c>
      <c r="E1590" s="521">
        <f>E1591+E1593+E1592</f>
        <v>46101207</v>
      </c>
      <c r="F1590" s="521">
        <f t="shared" ref="F1590:G1590" si="1234">F1591+F1593+F1592</f>
        <v>50711327.700000003</v>
      </c>
      <c r="G1590" s="521">
        <f t="shared" si="1234"/>
        <v>55782460.470000014</v>
      </c>
      <c r="H1590" s="132"/>
    </row>
    <row r="1591" spans="1:8" s="295" customFormat="1" ht="30" outlineLevel="3">
      <c r="A1591" s="508"/>
      <c r="B1591" s="508"/>
      <c r="C1591" s="517">
        <v>3110504</v>
      </c>
      <c r="D1591" s="518" t="s">
        <v>425</v>
      </c>
      <c r="E1591" s="519">
        <v>40238299</v>
      </c>
      <c r="F1591" s="520">
        <f t="shared" ref="F1591:G1595" si="1235">E1591*1.1</f>
        <v>44262128.900000006</v>
      </c>
      <c r="G1591" s="520">
        <f t="shared" si="1235"/>
        <v>48688341.790000014</v>
      </c>
      <c r="H1591" s="132"/>
    </row>
    <row r="1592" spans="1:8" s="295" customFormat="1" outlineLevel="3">
      <c r="A1592" s="508"/>
      <c r="B1592" s="508"/>
      <c r="C1592" s="517">
        <v>3110504</v>
      </c>
      <c r="D1592" s="518" t="s">
        <v>426</v>
      </c>
      <c r="E1592" s="510">
        <v>362908</v>
      </c>
      <c r="F1592" s="520">
        <f t="shared" si="1235"/>
        <v>399198.80000000005</v>
      </c>
      <c r="G1592" s="520">
        <f t="shared" si="1235"/>
        <v>439118.68000000011</v>
      </c>
      <c r="H1592" s="132"/>
    </row>
    <row r="1593" spans="1:8" s="295" customFormat="1" ht="30" outlineLevel="3">
      <c r="A1593" s="508"/>
      <c r="B1593" s="508"/>
      <c r="C1593" s="517">
        <v>3110504</v>
      </c>
      <c r="D1593" s="518" t="s">
        <v>427</v>
      </c>
      <c r="E1593" s="510">
        <v>5500000</v>
      </c>
      <c r="F1593" s="520">
        <f t="shared" si="1235"/>
        <v>6050000.0000000009</v>
      </c>
      <c r="G1593" s="520">
        <f t="shared" si="1235"/>
        <v>6655000.0000000019</v>
      </c>
      <c r="H1593" s="132"/>
    </row>
    <row r="1594" spans="1:8" s="295" customFormat="1" outlineLevel="3">
      <c r="A1594" s="508"/>
      <c r="B1594" s="508"/>
      <c r="C1594" s="515">
        <v>3111100</v>
      </c>
      <c r="D1594" s="514" t="s">
        <v>406</v>
      </c>
      <c r="E1594" s="521">
        <f>SUM(E1595:E1595)</f>
        <v>4500000</v>
      </c>
      <c r="F1594" s="521">
        <f>SUM(F1595:F1595)</f>
        <v>4950000</v>
      </c>
      <c r="G1594" s="521">
        <f>SUM(G1595:G1595)</f>
        <v>5445000</v>
      </c>
      <c r="H1594" s="132"/>
    </row>
    <row r="1595" spans="1:8" s="295" customFormat="1" outlineLevel="3">
      <c r="A1595" s="508"/>
      <c r="B1595" s="508"/>
      <c r="C1595" s="517">
        <v>3111101</v>
      </c>
      <c r="D1595" s="527" t="s">
        <v>407</v>
      </c>
      <c r="E1595" s="510">
        <v>4500000</v>
      </c>
      <c r="F1595" s="520">
        <f t="shared" si="1235"/>
        <v>4950000</v>
      </c>
      <c r="G1595" s="520">
        <f t="shared" si="1235"/>
        <v>5445000</v>
      </c>
      <c r="H1595" s="132"/>
    </row>
    <row r="1596" spans="1:8" s="295" customFormat="1" outlineLevel="3">
      <c r="A1596" s="508"/>
      <c r="B1596" s="508"/>
      <c r="C1596" s="515">
        <v>2210700</v>
      </c>
      <c r="D1596" s="514" t="s">
        <v>34</v>
      </c>
      <c r="E1596" s="521">
        <f>E1597</f>
        <v>20000000</v>
      </c>
      <c r="F1596" s="521">
        <f t="shared" ref="F1596:G1596" si="1236">F1597</f>
        <v>22000000</v>
      </c>
      <c r="G1596" s="521">
        <f t="shared" si="1236"/>
        <v>24200000.000000004</v>
      </c>
      <c r="H1596" s="132"/>
    </row>
    <row r="1597" spans="1:8" s="295" customFormat="1" outlineLevel="3">
      <c r="A1597" s="508"/>
      <c r="B1597" s="508"/>
      <c r="C1597" s="517">
        <v>2210799</v>
      </c>
      <c r="D1597" s="518" t="s">
        <v>428</v>
      </c>
      <c r="E1597" s="510">
        <v>20000000</v>
      </c>
      <c r="F1597" s="520">
        <f>E1597*1.1</f>
        <v>22000000</v>
      </c>
      <c r="G1597" s="520">
        <f>F1597*1.1</f>
        <v>24200000.000000004</v>
      </c>
      <c r="H1597" s="132"/>
    </row>
    <row r="1598" spans="1:8" s="295" customFormat="1" outlineLevel="2">
      <c r="A1598" s="508"/>
      <c r="B1598" s="508"/>
      <c r="C1598" s="515" t="s">
        <v>201</v>
      </c>
      <c r="D1598" s="514"/>
      <c r="E1598" s="521">
        <f>E1590+E1594+E1596</f>
        <v>70601207</v>
      </c>
      <c r="F1598" s="521">
        <f>F1590+F1594+F1596</f>
        <v>77661327.700000003</v>
      </c>
      <c r="G1598" s="521">
        <f>G1590+G1594+G1596</f>
        <v>85427460.470000014</v>
      </c>
      <c r="H1598" s="132"/>
    </row>
    <row r="1599" spans="1:8" s="295" customFormat="1" outlineLevel="1">
      <c r="A1599" s="508"/>
      <c r="B1599" s="508"/>
      <c r="C1599" s="515" t="s">
        <v>80</v>
      </c>
      <c r="D1599" s="514"/>
      <c r="E1599" s="521">
        <f>E1587+E1598</f>
        <v>87105352.307999998</v>
      </c>
      <c r="F1599" s="521">
        <f>F1587+F1598</f>
        <v>95815887.538800001</v>
      </c>
      <c r="G1599" s="521">
        <f>G1587+G1598</f>
        <v>105397476.29268001</v>
      </c>
      <c r="H1599" s="132"/>
    </row>
    <row r="1600" spans="1:8" s="295" customFormat="1" outlineLevel="1">
      <c r="A1600" s="508"/>
      <c r="B1600" s="508"/>
      <c r="C1600" s="515"/>
      <c r="D1600" s="514"/>
      <c r="E1600" s="510"/>
      <c r="F1600" s="511"/>
      <c r="G1600" s="511"/>
      <c r="H1600" s="132"/>
    </row>
    <row r="1601" spans="1:8" s="295" customFormat="1" outlineLevel="1">
      <c r="A1601" s="508"/>
      <c r="B1601" s="508"/>
      <c r="C1601" s="515"/>
      <c r="D1601" s="530"/>
      <c r="E1601" s="510"/>
      <c r="F1601" s="511"/>
      <c r="G1601" s="511"/>
      <c r="H1601" s="132"/>
    </row>
    <row r="1602" spans="1:8" s="295" customFormat="1" outlineLevel="1">
      <c r="A1602" s="508"/>
      <c r="B1602" s="508"/>
      <c r="C1602" s="513" t="s">
        <v>429</v>
      </c>
      <c r="D1602" s="514"/>
      <c r="E1602" s="510"/>
      <c r="F1602" s="511"/>
      <c r="G1602" s="511"/>
      <c r="H1602" s="132"/>
    </row>
    <row r="1603" spans="1:8" s="295" customFormat="1" outlineLevel="1">
      <c r="A1603" s="508" t="s">
        <v>430</v>
      </c>
      <c r="B1603" s="508" t="s">
        <v>98</v>
      </c>
      <c r="C1603" s="513" t="s">
        <v>431</v>
      </c>
      <c r="D1603" s="532"/>
      <c r="E1603" s="510"/>
      <c r="F1603" s="533"/>
      <c r="G1603" s="533"/>
      <c r="H1603" s="132"/>
    </row>
    <row r="1604" spans="1:8" s="295" customFormat="1" outlineLevel="3">
      <c r="A1604" s="508"/>
      <c r="B1604" s="508"/>
      <c r="C1604" s="515">
        <v>2211100</v>
      </c>
      <c r="D1604" s="514" t="s">
        <v>49</v>
      </c>
      <c r="E1604" s="521">
        <f>SUM(E1605:E1607)</f>
        <v>727701.8</v>
      </c>
      <c r="F1604" s="521">
        <f t="shared" ref="F1604" si="1237">SUM(F1605:F1607)</f>
        <v>800471.9800000001</v>
      </c>
      <c r="G1604" s="521">
        <f t="shared" ref="G1604" si="1238">SUM(G1605:G1607)</f>
        <v>880519.17800000007</v>
      </c>
      <c r="H1604" s="132"/>
    </row>
    <row r="1605" spans="1:8" s="295" customFormat="1" ht="30" outlineLevel="3">
      <c r="A1605" s="508"/>
      <c r="B1605" s="508"/>
      <c r="C1605" s="517">
        <v>2211101</v>
      </c>
      <c r="D1605" s="518" t="s">
        <v>50</v>
      </c>
      <c r="E1605" s="510">
        <v>203357.6</v>
      </c>
      <c r="F1605" s="520">
        <f t="shared" ref="F1605:G1607" si="1239">E1605*1.1</f>
        <v>223693.36000000002</v>
      </c>
      <c r="G1605" s="520">
        <f t="shared" si="1239"/>
        <v>246062.69600000003</v>
      </c>
      <c r="H1605" s="132"/>
    </row>
    <row r="1606" spans="1:8" s="295" customFormat="1" outlineLevel="3">
      <c r="A1606" s="508"/>
      <c r="B1606" s="508"/>
      <c r="C1606" s="517">
        <v>2211102</v>
      </c>
      <c r="D1606" s="518" t="s">
        <v>51</v>
      </c>
      <c r="E1606" s="510">
        <v>242467</v>
      </c>
      <c r="F1606" s="520">
        <f t="shared" si="1239"/>
        <v>266713.7</v>
      </c>
      <c r="G1606" s="520">
        <f t="shared" si="1239"/>
        <v>293385.07000000007</v>
      </c>
      <c r="H1606" s="132"/>
    </row>
    <row r="1607" spans="1:8" s="295" customFormat="1" outlineLevel="3">
      <c r="A1607" s="508"/>
      <c r="B1607" s="508"/>
      <c r="C1607" s="517">
        <v>2211103</v>
      </c>
      <c r="D1607" s="518" t="s">
        <v>52</v>
      </c>
      <c r="E1607" s="510">
        <v>281877.2</v>
      </c>
      <c r="F1607" s="520">
        <f t="shared" si="1239"/>
        <v>310064.92000000004</v>
      </c>
      <c r="G1607" s="520">
        <f t="shared" si="1239"/>
        <v>341071.41200000007</v>
      </c>
      <c r="H1607" s="132"/>
    </row>
    <row r="1608" spans="1:8" s="295" customFormat="1" outlineLevel="3">
      <c r="A1608" s="508"/>
      <c r="B1608" s="508"/>
      <c r="C1608" s="515">
        <v>2211200</v>
      </c>
      <c r="D1608" s="514" t="s">
        <v>53</v>
      </c>
      <c r="E1608" s="521">
        <f>E1609</f>
        <v>700318</v>
      </c>
      <c r="F1608" s="521">
        <f t="shared" ref="F1608:G1608" si="1240">F1609</f>
        <v>770349.8</v>
      </c>
      <c r="G1608" s="521">
        <f t="shared" si="1240"/>
        <v>847384.78000000014</v>
      </c>
      <c r="H1608" s="132"/>
    </row>
    <row r="1609" spans="1:8" s="295" customFormat="1" outlineLevel="3">
      <c r="A1609" s="508"/>
      <c r="B1609" s="508"/>
      <c r="C1609" s="517">
        <v>2211201</v>
      </c>
      <c r="D1609" s="518" t="s">
        <v>91</v>
      </c>
      <c r="E1609" s="510">
        <v>700318</v>
      </c>
      <c r="F1609" s="520">
        <f t="shared" ref="F1609:G1613" si="1241">E1609*1.1</f>
        <v>770349.8</v>
      </c>
      <c r="G1609" s="520">
        <f t="shared" si="1241"/>
        <v>847384.78000000014</v>
      </c>
      <c r="H1609" s="132"/>
    </row>
    <row r="1610" spans="1:8" s="295" customFormat="1" ht="30" outlineLevel="3">
      <c r="A1610" s="508"/>
      <c r="B1610" s="508"/>
      <c r="C1610" s="515">
        <v>2210300</v>
      </c>
      <c r="D1610" s="514" t="s">
        <v>23</v>
      </c>
      <c r="E1610" s="521">
        <f>SUM(E1611:E1613)</f>
        <v>1295975.848</v>
      </c>
      <c r="F1610" s="521">
        <f t="shared" ref="F1610" si="1242">SUM(F1611:F1613)</f>
        <v>1425573.4328000001</v>
      </c>
      <c r="G1610" s="521">
        <f t="shared" si="1241"/>
        <v>1568130.7760800002</v>
      </c>
      <c r="H1610" s="132"/>
    </row>
    <row r="1611" spans="1:8" s="295" customFormat="1" outlineLevel="3">
      <c r="A1611" s="508"/>
      <c r="B1611" s="508"/>
      <c r="C1611" s="517">
        <v>2210301</v>
      </c>
      <c r="D1611" s="518" t="s">
        <v>208</v>
      </c>
      <c r="E1611" s="510">
        <v>351450</v>
      </c>
      <c r="F1611" s="520">
        <f t="shared" si="1241"/>
        <v>386595.00000000006</v>
      </c>
      <c r="G1611" s="520">
        <f t="shared" si="1241"/>
        <v>425254.50000000012</v>
      </c>
      <c r="H1611" s="132"/>
    </row>
    <row r="1612" spans="1:8" s="295" customFormat="1" outlineLevel="3">
      <c r="A1612" s="508"/>
      <c r="B1612" s="508"/>
      <c r="C1612" s="517">
        <v>2210302</v>
      </c>
      <c r="D1612" s="518" t="s">
        <v>25</v>
      </c>
      <c r="E1612" s="510">
        <v>444125.848</v>
      </c>
      <c r="F1612" s="520">
        <f t="shared" si="1241"/>
        <v>488538.43280000001</v>
      </c>
      <c r="G1612" s="520">
        <f t="shared" si="1241"/>
        <v>537392.2760800001</v>
      </c>
      <c r="H1612" s="132"/>
    </row>
    <row r="1613" spans="1:8" s="295" customFormat="1" outlineLevel="3">
      <c r="A1613" s="508"/>
      <c r="B1613" s="508"/>
      <c r="C1613" s="517">
        <v>2210303</v>
      </c>
      <c r="D1613" s="518" t="s">
        <v>259</v>
      </c>
      <c r="E1613" s="510">
        <v>500400</v>
      </c>
      <c r="F1613" s="520">
        <f t="shared" si="1241"/>
        <v>550440</v>
      </c>
      <c r="G1613" s="520">
        <f t="shared" si="1241"/>
        <v>605484</v>
      </c>
      <c r="H1613" s="132"/>
    </row>
    <row r="1614" spans="1:8" s="295" customFormat="1" outlineLevel="3">
      <c r="A1614" s="508"/>
      <c r="B1614" s="508"/>
      <c r="C1614" s="515">
        <v>2210700</v>
      </c>
      <c r="D1614" s="514" t="s">
        <v>34</v>
      </c>
      <c r="E1614" s="521">
        <f>E1615</f>
        <v>18000000</v>
      </c>
      <c r="F1614" s="521">
        <f t="shared" ref="F1614:G1614" si="1243">F1615</f>
        <v>19800000</v>
      </c>
      <c r="G1614" s="521">
        <f t="shared" si="1243"/>
        <v>21780000</v>
      </c>
      <c r="H1614" s="132"/>
    </row>
    <row r="1615" spans="1:8" s="295" customFormat="1" outlineLevel="3">
      <c r="A1615" s="508"/>
      <c r="B1615" s="508"/>
      <c r="C1615" s="517">
        <v>2210711</v>
      </c>
      <c r="D1615" s="529" t="s">
        <v>432</v>
      </c>
      <c r="E1615" s="510">
        <v>18000000</v>
      </c>
      <c r="F1615" s="520">
        <f>E1615*1.1</f>
        <v>19800000</v>
      </c>
      <c r="G1615" s="520">
        <f>F1615*1.1</f>
        <v>21780000</v>
      </c>
      <c r="H1615" s="132"/>
    </row>
    <row r="1616" spans="1:8" s="295" customFormat="1" outlineLevel="3">
      <c r="A1616" s="508"/>
      <c r="B1616" s="508"/>
      <c r="C1616" s="515">
        <v>3111400</v>
      </c>
      <c r="D1616" s="530" t="s">
        <v>433</v>
      </c>
      <c r="E1616" s="534">
        <f>E1617</f>
        <v>1200000</v>
      </c>
      <c r="F1616" s="534">
        <f t="shared" ref="F1616:G1616" si="1244">F1617</f>
        <v>1320000</v>
      </c>
      <c r="G1616" s="534">
        <f t="shared" si="1244"/>
        <v>1452000.0000000002</v>
      </c>
      <c r="H1616" s="132"/>
    </row>
    <row r="1617" spans="1:8" s="295" customFormat="1" ht="30" outlineLevel="3">
      <c r="A1617" s="508"/>
      <c r="B1617" s="508"/>
      <c r="C1617" s="517">
        <v>3111401</v>
      </c>
      <c r="D1617" s="518" t="s">
        <v>434</v>
      </c>
      <c r="E1617" s="510">
        <v>1200000</v>
      </c>
      <c r="F1617" s="520">
        <f>E1617*1.1</f>
        <v>1320000</v>
      </c>
      <c r="G1617" s="520">
        <f>F1617*1.1</f>
        <v>1452000.0000000002</v>
      </c>
      <c r="H1617" s="132"/>
    </row>
    <row r="1618" spans="1:8" s="295" customFormat="1" outlineLevel="2">
      <c r="A1618" s="508"/>
      <c r="B1618" s="508"/>
      <c r="C1618" s="515" t="s">
        <v>101</v>
      </c>
      <c r="D1618" s="518"/>
      <c r="E1618" s="535">
        <f>E1610+E1614+E1616+E1608+E1604</f>
        <v>21923995.648000002</v>
      </c>
      <c r="F1618" s="535">
        <f t="shared" ref="F1618" si="1245">F1610+F1614+F1616+F1608+F1604</f>
        <v>24116395.2128</v>
      </c>
      <c r="G1618" s="535">
        <f>G1610+G1614+G1616</f>
        <v>24800130.776080001</v>
      </c>
      <c r="H1618" s="132"/>
    </row>
    <row r="1619" spans="1:8" s="295" customFormat="1" outlineLevel="1">
      <c r="A1619" s="508"/>
      <c r="B1619" s="508"/>
      <c r="C1619" s="515" t="s">
        <v>80</v>
      </c>
      <c r="D1619" s="514"/>
      <c r="E1619" s="516">
        <f>E1618</f>
        <v>21923995.648000002</v>
      </c>
      <c r="F1619" s="516">
        <f t="shared" ref="F1619:G1619" si="1246">F1618</f>
        <v>24116395.2128</v>
      </c>
      <c r="G1619" s="516">
        <f t="shared" si="1246"/>
        <v>24800130.776080001</v>
      </c>
      <c r="H1619" s="132"/>
    </row>
    <row r="1620" spans="1:8" s="295" customFormat="1" outlineLevel="1">
      <c r="A1620" s="508"/>
      <c r="B1620" s="508"/>
      <c r="C1620" s="515"/>
      <c r="D1620" s="514"/>
      <c r="E1620" s="516"/>
      <c r="F1620" s="516"/>
      <c r="G1620" s="516"/>
      <c r="H1620" s="132"/>
    </row>
    <row r="1621" spans="1:8" s="295" customFormat="1" outlineLevel="1">
      <c r="A1621" s="508"/>
      <c r="B1621" s="508"/>
      <c r="C1621" s="515"/>
      <c r="D1621" s="514" t="s">
        <v>435</v>
      </c>
      <c r="E1621" s="516">
        <f>E1619+E1599</f>
        <v>109029347.956</v>
      </c>
      <c r="F1621" s="516">
        <f>F1619+F1599</f>
        <v>119932282.7516</v>
      </c>
      <c r="G1621" s="516">
        <f>G1619+G1599</f>
        <v>130197607.06876001</v>
      </c>
      <c r="H1621" s="132"/>
    </row>
    <row r="1622" spans="1:8" s="295" customFormat="1">
      <c r="A1622" s="525"/>
      <c r="B1622" s="525"/>
      <c r="C1622" s="536"/>
      <c r="D1622" s="537" t="s">
        <v>101</v>
      </c>
      <c r="E1622" s="466">
        <f>E1479+E1528+E1587+E1618</f>
        <v>959439768.20725596</v>
      </c>
      <c r="F1622" s="466">
        <f>F1479+F1528+F1587+F1618</f>
        <v>1055383745.0279818</v>
      </c>
      <c r="G1622" s="466">
        <f>G1479+G1528+G1587+G1618</f>
        <v>1159194215.5727801</v>
      </c>
      <c r="H1622" s="132"/>
    </row>
    <row r="1623" spans="1:8" s="295" customFormat="1">
      <c r="A1623" s="525"/>
      <c r="B1623" s="525"/>
      <c r="C1623" s="536"/>
      <c r="D1623" s="537" t="s">
        <v>201</v>
      </c>
      <c r="E1623" s="466">
        <f>E1538+E1598</f>
        <v>131101207</v>
      </c>
      <c r="F1623" s="466">
        <f t="shared" ref="F1623:G1623" si="1247">F1538+F1598</f>
        <v>144211327.69999999</v>
      </c>
      <c r="G1623" s="466">
        <f t="shared" si="1247"/>
        <v>158632460.47000003</v>
      </c>
      <c r="H1623" s="132"/>
    </row>
    <row r="1624" spans="1:8" s="295" customFormat="1">
      <c r="A1624" s="525"/>
      <c r="B1624" s="525"/>
      <c r="C1624" s="802" t="s">
        <v>436</v>
      </c>
      <c r="D1624" s="803"/>
      <c r="E1624" s="466">
        <f>E1622+E1623</f>
        <v>1090540975.2072558</v>
      </c>
      <c r="F1624" s="466">
        <f t="shared" ref="F1624:G1624" si="1248">F1622+F1623</f>
        <v>1199595072.7279818</v>
      </c>
      <c r="G1624" s="466">
        <f t="shared" si="1248"/>
        <v>1317826676.0427802</v>
      </c>
      <c r="H1624" s="132"/>
    </row>
    <row r="1625" spans="1:8" s="289" customFormat="1">
      <c r="A1625" s="311"/>
      <c r="B1625" s="311"/>
      <c r="C1625" s="312"/>
      <c r="D1625" s="313"/>
      <c r="E1625" s="314"/>
      <c r="F1625" s="382"/>
      <c r="G1625" s="382"/>
      <c r="H1625" s="132"/>
    </row>
    <row r="1626" spans="1:8" s="289" customFormat="1">
      <c r="A1626" s="311"/>
      <c r="B1626" s="311"/>
      <c r="C1626" s="312"/>
      <c r="D1626" s="313"/>
      <c r="E1626" s="314"/>
      <c r="F1626" s="382"/>
      <c r="G1626" s="382"/>
      <c r="H1626" s="132"/>
    </row>
    <row r="1627" spans="1:8" s="289" customFormat="1">
      <c r="A1627" s="311"/>
      <c r="B1627" s="311"/>
      <c r="C1627" s="312"/>
      <c r="D1627" s="313"/>
      <c r="E1627" s="314"/>
      <c r="F1627" s="382"/>
      <c r="G1627" s="382"/>
      <c r="H1627" s="132"/>
    </row>
    <row r="1628" spans="1:8" s="760" customFormat="1">
      <c r="A1628" s="757"/>
      <c r="B1628" s="757"/>
      <c r="C1628" s="801" t="s">
        <v>437</v>
      </c>
      <c r="D1628" s="801"/>
      <c r="E1628" s="758"/>
      <c r="F1628" s="759"/>
      <c r="G1628" s="759"/>
      <c r="H1628" s="132"/>
    </row>
    <row r="1629" spans="1:8" s="760" customFormat="1" outlineLevel="1">
      <c r="A1629" s="757"/>
      <c r="B1629" s="757"/>
      <c r="C1629" s="801" t="s">
        <v>1768</v>
      </c>
      <c r="D1629" s="801"/>
      <c r="E1629" s="758"/>
      <c r="F1629" s="759">
        <f t="shared" ref="F1629:G1644" si="1249">E1629*1.1</f>
        <v>0</v>
      </c>
      <c r="G1629" s="759">
        <f t="shared" si="1249"/>
        <v>0</v>
      </c>
      <c r="H1629" s="132"/>
    </row>
    <row r="1630" spans="1:8" s="760" customFormat="1" outlineLevel="1">
      <c r="A1630" s="757"/>
      <c r="B1630" s="761">
        <v>1</v>
      </c>
      <c r="C1630" s="801" t="s">
        <v>438</v>
      </c>
      <c r="D1630" s="801"/>
      <c r="E1630" s="758"/>
      <c r="F1630" s="759">
        <f t="shared" si="1249"/>
        <v>0</v>
      </c>
      <c r="G1630" s="759">
        <f t="shared" si="1249"/>
        <v>0</v>
      </c>
      <c r="H1630" s="132"/>
    </row>
    <row r="1631" spans="1:8" s="760" customFormat="1" outlineLevel="2">
      <c r="A1631" s="757"/>
      <c r="B1631" s="761"/>
      <c r="C1631" s="772" t="s">
        <v>228</v>
      </c>
      <c r="D1631" s="757"/>
      <c r="E1631" s="758"/>
      <c r="F1631" s="759">
        <f t="shared" si="1249"/>
        <v>0</v>
      </c>
      <c r="G1631" s="759">
        <f t="shared" si="1249"/>
        <v>0</v>
      </c>
      <c r="H1631" s="132"/>
    </row>
    <row r="1632" spans="1:8" s="765" customFormat="1" outlineLevel="2">
      <c r="A1632" s="745"/>
      <c r="B1632" s="745"/>
      <c r="C1632" s="762">
        <v>2110100</v>
      </c>
      <c r="D1632" s="763" t="s">
        <v>13</v>
      </c>
      <c r="E1632" s="764">
        <f>SUM(E1633:E1633)</f>
        <v>177392181</v>
      </c>
      <c r="F1632" s="759">
        <f t="shared" si="1249"/>
        <v>195131399.10000002</v>
      </c>
      <c r="G1632" s="759">
        <f t="shared" si="1249"/>
        <v>214644539.01000005</v>
      </c>
      <c r="H1632" s="132"/>
    </row>
    <row r="1633" spans="1:8" s="127" customFormat="1" outlineLevel="2">
      <c r="A1633" s="766"/>
      <c r="B1633" s="766"/>
      <c r="C1633" s="767">
        <v>2110101</v>
      </c>
      <c r="D1633" s="768" t="s">
        <v>14</v>
      </c>
      <c r="E1633" s="769">
        <f>158446089+18946092</f>
        <v>177392181</v>
      </c>
      <c r="F1633" s="759">
        <f t="shared" si="1249"/>
        <v>195131399.10000002</v>
      </c>
      <c r="G1633" s="759">
        <f t="shared" si="1249"/>
        <v>214644539.01000005</v>
      </c>
      <c r="H1633" s="132"/>
    </row>
    <row r="1634" spans="1:8" s="765" customFormat="1" outlineLevel="2">
      <c r="A1634" s="745"/>
      <c r="B1634" s="745"/>
      <c r="C1634" s="762">
        <v>2210100</v>
      </c>
      <c r="D1634" s="763" t="s">
        <v>16</v>
      </c>
      <c r="E1634" s="764">
        <f>SUM(E1635:E1636)</f>
        <v>1200000</v>
      </c>
      <c r="F1634" s="759">
        <f t="shared" si="1249"/>
        <v>1320000</v>
      </c>
      <c r="G1634" s="759">
        <f t="shared" si="1249"/>
        <v>1452000.0000000002</v>
      </c>
      <c r="H1634" s="132"/>
    </row>
    <row r="1635" spans="1:8" s="127" customFormat="1" outlineLevel="2">
      <c r="A1635" s="766"/>
      <c r="B1635" s="766"/>
      <c r="C1635" s="767">
        <v>2210101</v>
      </c>
      <c r="D1635" s="768" t="s">
        <v>17</v>
      </c>
      <c r="E1635" s="769">
        <v>800000</v>
      </c>
      <c r="F1635" s="759">
        <f t="shared" si="1249"/>
        <v>880000.00000000012</v>
      </c>
      <c r="G1635" s="759">
        <f t="shared" si="1249"/>
        <v>968000.00000000023</v>
      </c>
      <c r="H1635" s="132"/>
    </row>
    <row r="1636" spans="1:8" s="127" customFormat="1" outlineLevel="2">
      <c r="A1636" s="766"/>
      <c r="B1636" s="766"/>
      <c r="C1636" s="767">
        <v>2210102</v>
      </c>
      <c r="D1636" s="768" t="s">
        <v>18</v>
      </c>
      <c r="E1636" s="769">
        <v>400000</v>
      </c>
      <c r="F1636" s="759">
        <f t="shared" si="1249"/>
        <v>440000.00000000006</v>
      </c>
      <c r="G1636" s="759">
        <f t="shared" si="1249"/>
        <v>484000.00000000012</v>
      </c>
      <c r="H1636" s="132"/>
    </row>
    <row r="1637" spans="1:8" s="765" customFormat="1" outlineLevel="2">
      <c r="A1637" s="745"/>
      <c r="B1637" s="745"/>
      <c r="C1637" s="762">
        <v>2210200</v>
      </c>
      <c r="D1637" s="763" t="s">
        <v>19</v>
      </c>
      <c r="E1637" s="764">
        <f>SUM(E1638:E1640)</f>
        <v>260000</v>
      </c>
      <c r="F1637" s="759">
        <f t="shared" si="1249"/>
        <v>286000</v>
      </c>
      <c r="G1637" s="759">
        <f t="shared" si="1249"/>
        <v>314600</v>
      </c>
      <c r="H1637" s="132"/>
    </row>
    <row r="1638" spans="1:8" s="127" customFormat="1" outlineLevel="2">
      <c r="A1638" s="766"/>
      <c r="B1638" s="766"/>
      <c r="C1638" s="767">
        <v>2210201</v>
      </c>
      <c r="D1638" s="768" t="s">
        <v>20</v>
      </c>
      <c r="E1638" s="769">
        <v>180000</v>
      </c>
      <c r="F1638" s="759">
        <f t="shared" si="1249"/>
        <v>198000.00000000003</v>
      </c>
      <c r="G1638" s="759">
        <f t="shared" si="1249"/>
        <v>217800.00000000006</v>
      </c>
      <c r="H1638" s="132"/>
    </row>
    <row r="1639" spans="1:8" s="127" customFormat="1" outlineLevel="2">
      <c r="A1639" s="766"/>
      <c r="B1639" s="766"/>
      <c r="C1639" s="767">
        <v>2210202</v>
      </c>
      <c r="D1639" s="768" t="s">
        <v>439</v>
      </c>
      <c r="E1639" s="769">
        <v>50000</v>
      </c>
      <c r="F1639" s="759">
        <f t="shared" si="1249"/>
        <v>55000.000000000007</v>
      </c>
      <c r="G1639" s="759">
        <f t="shared" si="1249"/>
        <v>60500.000000000015</v>
      </c>
      <c r="H1639" s="132"/>
    </row>
    <row r="1640" spans="1:8" s="127" customFormat="1" outlineLevel="2">
      <c r="A1640" s="766"/>
      <c r="B1640" s="766"/>
      <c r="C1640" s="767">
        <v>2210203</v>
      </c>
      <c r="D1640" s="768" t="s">
        <v>22</v>
      </c>
      <c r="E1640" s="769">
        <v>30000</v>
      </c>
      <c r="F1640" s="759">
        <f t="shared" si="1249"/>
        <v>33000</v>
      </c>
      <c r="G1640" s="759">
        <f t="shared" si="1249"/>
        <v>36300</v>
      </c>
      <c r="H1640" s="132"/>
    </row>
    <row r="1641" spans="1:8" s="765" customFormat="1" ht="30" outlineLevel="2">
      <c r="A1641" s="745"/>
      <c r="B1641" s="745"/>
      <c r="C1641" s="762">
        <v>2210300</v>
      </c>
      <c r="D1641" s="763" t="s">
        <v>23</v>
      </c>
      <c r="E1641" s="764">
        <f>SUM(E1642:E1644)</f>
        <v>1700000</v>
      </c>
      <c r="F1641" s="759">
        <f t="shared" si="1249"/>
        <v>1870000.0000000002</v>
      </c>
      <c r="G1641" s="759">
        <f t="shared" si="1249"/>
        <v>2057000.0000000005</v>
      </c>
      <c r="H1641" s="132"/>
    </row>
    <row r="1642" spans="1:8" s="127" customFormat="1" outlineLevel="2">
      <c r="A1642" s="766"/>
      <c r="B1642" s="766"/>
      <c r="C1642" s="767">
        <v>2210301</v>
      </c>
      <c r="D1642" s="768" t="s">
        <v>24</v>
      </c>
      <c r="E1642" s="769">
        <v>500000</v>
      </c>
      <c r="F1642" s="759">
        <f t="shared" si="1249"/>
        <v>550000</v>
      </c>
      <c r="G1642" s="759">
        <f t="shared" si="1249"/>
        <v>605000</v>
      </c>
      <c r="H1642" s="132"/>
    </row>
    <row r="1643" spans="1:8" s="127" customFormat="1" outlineLevel="2">
      <c r="A1643" s="766"/>
      <c r="B1643" s="766"/>
      <c r="C1643" s="767">
        <v>2210302</v>
      </c>
      <c r="D1643" s="768" t="s">
        <v>25</v>
      </c>
      <c r="E1643" s="769">
        <v>500000</v>
      </c>
      <c r="F1643" s="759">
        <f t="shared" si="1249"/>
        <v>550000</v>
      </c>
      <c r="G1643" s="759">
        <f t="shared" si="1249"/>
        <v>605000</v>
      </c>
      <c r="H1643" s="132"/>
    </row>
    <row r="1644" spans="1:8" s="127" customFormat="1" outlineLevel="2">
      <c r="A1644" s="766"/>
      <c r="B1644" s="766"/>
      <c r="C1644" s="767">
        <v>2210303</v>
      </c>
      <c r="D1644" s="768" t="s">
        <v>26</v>
      </c>
      <c r="E1644" s="769">
        <v>700000</v>
      </c>
      <c r="F1644" s="759">
        <f t="shared" si="1249"/>
        <v>770000.00000000012</v>
      </c>
      <c r="G1644" s="759">
        <f t="shared" si="1249"/>
        <v>847000.00000000023</v>
      </c>
      <c r="H1644" s="132"/>
    </row>
    <row r="1645" spans="1:8" s="765" customFormat="1" ht="30" outlineLevel="2">
      <c r="A1645" s="745"/>
      <c r="B1645" s="745"/>
      <c r="C1645" s="762">
        <v>2210400</v>
      </c>
      <c r="D1645" s="763" t="s">
        <v>209</v>
      </c>
      <c r="E1645" s="764">
        <f>SUM(E1646:E1648)</f>
        <v>435000</v>
      </c>
      <c r="F1645" s="759">
        <f t="shared" ref="F1645:G1660" si="1250">E1645*1.1</f>
        <v>478500.00000000006</v>
      </c>
      <c r="G1645" s="759">
        <f t="shared" si="1250"/>
        <v>526350.00000000012</v>
      </c>
      <c r="H1645" s="132"/>
    </row>
    <row r="1646" spans="1:8" s="127" customFormat="1" outlineLevel="2">
      <c r="A1646" s="766"/>
      <c r="B1646" s="766"/>
      <c r="C1646" s="767">
        <v>2210401</v>
      </c>
      <c r="D1646" s="768" t="s">
        <v>210</v>
      </c>
      <c r="E1646" s="769">
        <v>250000</v>
      </c>
      <c r="F1646" s="759">
        <f t="shared" si="1250"/>
        <v>275000</v>
      </c>
      <c r="G1646" s="759">
        <f t="shared" si="1250"/>
        <v>302500</v>
      </c>
      <c r="H1646" s="132"/>
    </row>
    <row r="1647" spans="1:8" s="127" customFormat="1" outlineLevel="2">
      <c r="A1647" s="766"/>
      <c r="B1647" s="766"/>
      <c r="C1647" s="767">
        <v>2210402</v>
      </c>
      <c r="D1647" s="768" t="s">
        <v>29</v>
      </c>
      <c r="E1647" s="769">
        <v>40000</v>
      </c>
      <c r="F1647" s="759">
        <f t="shared" si="1250"/>
        <v>44000</v>
      </c>
      <c r="G1647" s="759">
        <f t="shared" si="1250"/>
        <v>48400.000000000007</v>
      </c>
      <c r="H1647" s="132"/>
    </row>
    <row r="1648" spans="1:8" s="127" customFormat="1" outlineLevel="2">
      <c r="A1648" s="766"/>
      <c r="B1648" s="766"/>
      <c r="C1648" s="767">
        <v>2210404</v>
      </c>
      <c r="D1648" s="768" t="s">
        <v>440</v>
      </c>
      <c r="E1648" s="769">
        <v>145000</v>
      </c>
      <c r="F1648" s="759">
        <f t="shared" si="1250"/>
        <v>159500</v>
      </c>
      <c r="G1648" s="759">
        <f t="shared" si="1250"/>
        <v>175450</v>
      </c>
      <c r="H1648" s="132"/>
    </row>
    <row r="1649" spans="1:8" s="765" customFormat="1" outlineLevel="2">
      <c r="A1649" s="745"/>
      <c r="B1649" s="745"/>
      <c r="C1649" s="762">
        <v>2210500</v>
      </c>
      <c r="D1649" s="763" t="s">
        <v>30</v>
      </c>
      <c r="E1649" s="764">
        <f>SUM(E1650:E1652)</f>
        <v>790000</v>
      </c>
      <c r="F1649" s="759">
        <f t="shared" si="1250"/>
        <v>869000.00000000012</v>
      </c>
      <c r="G1649" s="759">
        <f t="shared" si="1250"/>
        <v>955900.00000000023</v>
      </c>
      <c r="H1649" s="132"/>
    </row>
    <row r="1650" spans="1:8" s="127" customFormat="1" outlineLevel="2">
      <c r="A1650" s="766"/>
      <c r="B1650" s="766"/>
      <c r="C1650" s="767">
        <v>2210502</v>
      </c>
      <c r="D1650" s="768" t="s">
        <v>162</v>
      </c>
      <c r="E1650" s="769">
        <v>90000</v>
      </c>
      <c r="F1650" s="759">
        <f t="shared" si="1250"/>
        <v>99000.000000000015</v>
      </c>
      <c r="G1650" s="759">
        <f t="shared" si="1250"/>
        <v>108900.00000000003</v>
      </c>
      <c r="H1650" s="132"/>
    </row>
    <row r="1651" spans="1:8" s="127" customFormat="1" outlineLevel="2">
      <c r="A1651" s="766"/>
      <c r="B1651" s="766"/>
      <c r="C1651" s="767">
        <v>2210503</v>
      </c>
      <c r="D1651" s="768" t="s">
        <v>31</v>
      </c>
      <c r="E1651" s="769">
        <v>50000</v>
      </c>
      <c r="F1651" s="759">
        <f t="shared" si="1250"/>
        <v>55000.000000000007</v>
      </c>
      <c r="G1651" s="759">
        <f t="shared" si="1250"/>
        <v>60500.000000000015</v>
      </c>
      <c r="H1651" s="132"/>
    </row>
    <row r="1652" spans="1:8" s="127" customFormat="1" outlineLevel="2">
      <c r="A1652" s="766"/>
      <c r="B1652" s="766"/>
      <c r="C1652" s="767">
        <v>2210504</v>
      </c>
      <c r="D1652" s="768" t="s">
        <v>32</v>
      </c>
      <c r="E1652" s="769">
        <v>650000</v>
      </c>
      <c r="F1652" s="759">
        <f t="shared" si="1250"/>
        <v>715000</v>
      </c>
      <c r="G1652" s="759">
        <f t="shared" si="1250"/>
        <v>786500.00000000012</v>
      </c>
      <c r="H1652" s="132"/>
    </row>
    <row r="1653" spans="1:8" s="765" customFormat="1" outlineLevel="2">
      <c r="A1653" s="745"/>
      <c r="B1653" s="745"/>
      <c r="C1653" s="762">
        <v>2210800</v>
      </c>
      <c r="D1653" s="763" t="s">
        <v>41</v>
      </c>
      <c r="E1653" s="764">
        <f>SUM(E1654:E1655)</f>
        <v>640000</v>
      </c>
      <c r="F1653" s="759">
        <f t="shared" si="1250"/>
        <v>704000</v>
      </c>
      <c r="G1653" s="759">
        <f t="shared" si="1250"/>
        <v>774400.00000000012</v>
      </c>
      <c r="H1653" s="132"/>
    </row>
    <row r="1654" spans="1:8" s="127" customFormat="1" ht="30" outlineLevel="2">
      <c r="A1654" s="766"/>
      <c r="B1654" s="766"/>
      <c r="C1654" s="767">
        <v>2210801</v>
      </c>
      <c r="D1654" s="768" t="s">
        <v>85</v>
      </c>
      <c r="E1654" s="769">
        <v>400000</v>
      </c>
      <c r="F1654" s="759">
        <f t="shared" si="1250"/>
        <v>440000.00000000006</v>
      </c>
      <c r="G1654" s="759">
        <f t="shared" si="1250"/>
        <v>484000.00000000012</v>
      </c>
      <c r="H1654" s="132"/>
    </row>
    <row r="1655" spans="1:8" s="127" customFormat="1" outlineLevel="2">
      <c r="A1655" s="766"/>
      <c r="B1655" s="766"/>
      <c r="C1655" s="767">
        <v>2210802</v>
      </c>
      <c r="D1655" s="768" t="s">
        <v>86</v>
      </c>
      <c r="E1655" s="769">
        <v>240000</v>
      </c>
      <c r="F1655" s="759">
        <f t="shared" si="1250"/>
        <v>264000</v>
      </c>
      <c r="G1655" s="759">
        <f t="shared" si="1250"/>
        <v>290400</v>
      </c>
      <c r="H1655" s="132"/>
    </row>
    <row r="1656" spans="1:8" s="765" customFormat="1" outlineLevel="2">
      <c r="A1656" s="745"/>
      <c r="B1656" s="745"/>
      <c r="C1656" s="762">
        <v>2211200</v>
      </c>
      <c r="D1656" s="763" t="s">
        <v>53</v>
      </c>
      <c r="E1656" s="770">
        <f>E1657</f>
        <v>1000000</v>
      </c>
      <c r="F1656" s="759">
        <f t="shared" si="1250"/>
        <v>1100000</v>
      </c>
      <c r="G1656" s="759">
        <f t="shared" si="1250"/>
        <v>1210000</v>
      </c>
      <c r="H1656" s="132"/>
    </row>
    <row r="1657" spans="1:8" s="127" customFormat="1" outlineLevel="2">
      <c r="A1657" s="766"/>
      <c r="B1657" s="766"/>
      <c r="C1657" s="767">
        <v>2211201</v>
      </c>
      <c r="D1657" s="768" t="s">
        <v>91</v>
      </c>
      <c r="E1657" s="771">
        <v>1000000</v>
      </c>
      <c r="F1657" s="759">
        <f t="shared" si="1250"/>
        <v>1100000</v>
      </c>
      <c r="G1657" s="759">
        <f t="shared" si="1250"/>
        <v>1210000</v>
      </c>
      <c r="H1657" s="132"/>
    </row>
    <row r="1658" spans="1:8" s="765" customFormat="1" ht="30" outlineLevel="2">
      <c r="A1658" s="745"/>
      <c r="B1658" s="745"/>
      <c r="C1658" s="762">
        <v>2220100</v>
      </c>
      <c r="D1658" s="763" t="s">
        <v>61</v>
      </c>
      <c r="E1658" s="764">
        <f>SUM(E1659:E1660)</f>
        <v>520000</v>
      </c>
      <c r="F1658" s="759">
        <f t="shared" si="1250"/>
        <v>572000</v>
      </c>
      <c r="G1658" s="759">
        <f t="shared" si="1250"/>
        <v>629200</v>
      </c>
      <c r="H1658" s="132"/>
    </row>
    <row r="1659" spans="1:8" s="127" customFormat="1" outlineLevel="2">
      <c r="A1659" s="766"/>
      <c r="B1659" s="766"/>
      <c r="C1659" s="767">
        <v>2220101</v>
      </c>
      <c r="D1659" s="768" t="s">
        <v>441</v>
      </c>
      <c r="E1659" s="769">
        <v>160000</v>
      </c>
      <c r="F1659" s="759">
        <f t="shared" si="1250"/>
        <v>176000</v>
      </c>
      <c r="G1659" s="759">
        <f t="shared" si="1250"/>
        <v>193600.00000000003</v>
      </c>
      <c r="H1659" s="132"/>
    </row>
    <row r="1660" spans="1:8" s="127" customFormat="1" outlineLevel="2">
      <c r="A1660" s="766"/>
      <c r="B1660" s="766"/>
      <c r="C1660" s="767">
        <v>2220105</v>
      </c>
      <c r="D1660" s="768" t="s">
        <v>225</v>
      </c>
      <c r="E1660" s="769">
        <v>360000</v>
      </c>
      <c r="F1660" s="759">
        <f t="shared" si="1250"/>
        <v>396000.00000000006</v>
      </c>
      <c r="G1660" s="759">
        <f t="shared" si="1250"/>
        <v>435600.00000000012</v>
      </c>
      <c r="H1660" s="132"/>
    </row>
    <row r="1661" spans="1:8" s="765" customFormat="1" outlineLevel="2">
      <c r="A1661" s="745"/>
      <c r="B1661" s="745"/>
      <c r="C1661" s="762">
        <v>3111000</v>
      </c>
      <c r="D1661" s="763" t="s">
        <v>65</v>
      </c>
      <c r="E1661" s="764">
        <f>SUM(E1662:E1663)</f>
        <v>455000</v>
      </c>
      <c r="F1661" s="759">
        <f t="shared" ref="F1661:G1676" si="1251">E1661*1.1</f>
        <v>500500.00000000006</v>
      </c>
      <c r="G1661" s="759">
        <f t="shared" si="1251"/>
        <v>550550.00000000012</v>
      </c>
      <c r="H1661" s="132"/>
    </row>
    <row r="1662" spans="1:8" s="127" customFormat="1" outlineLevel="2">
      <c r="A1662" s="766"/>
      <c r="B1662" s="766"/>
      <c r="C1662" s="767">
        <v>3111001</v>
      </c>
      <c r="D1662" s="768" t="s">
        <v>442</v>
      </c>
      <c r="E1662" s="769">
        <v>300000</v>
      </c>
      <c r="F1662" s="759">
        <f t="shared" si="1251"/>
        <v>330000</v>
      </c>
      <c r="G1662" s="759">
        <f t="shared" si="1251"/>
        <v>363000.00000000006</v>
      </c>
      <c r="H1662" s="132"/>
    </row>
    <row r="1663" spans="1:8" s="127" customFormat="1" outlineLevel="2">
      <c r="A1663" s="766"/>
      <c r="B1663" s="766"/>
      <c r="C1663" s="767">
        <v>3111002</v>
      </c>
      <c r="D1663" s="768" t="s">
        <v>443</v>
      </c>
      <c r="E1663" s="771">
        <v>155000</v>
      </c>
      <c r="F1663" s="759">
        <f t="shared" si="1251"/>
        <v>170500</v>
      </c>
      <c r="G1663" s="759">
        <f t="shared" si="1251"/>
        <v>187550.00000000003</v>
      </c>
      <c r="H1663" s="132"/>
    </row>
    <row r="1664" spans="1:8" s="760" customFormat="1" outlineLevel="1">
      <c r="A1664" s="757"/>
      <c r="B1664" s="757"/>
      <c r="C1664" s="772" t="s">
        <v>444</v>
      </c>
      <c r="D1664" s="757"/>
      <c r="E1664" s="773">
        <f>SUM(E1632+E1634+E1637+E1641+E1645+E1649+E1653+E1656+E1658+E1661)</f>
        <v>184392181</v>
      </c>
      <c r="F1664" s="759">
        <f t="shared" si="1251"/>
        <v>202831399.10000002</v>
      </c>
      <c r="G1664" s="759">
        <f t="shared" si="1251"/>
        <v>223114539.01000005</v>
      </c>
      <c r="H1664" s="132"/>
    </row>
    <row r="1665" spans="1:8" s="760" customFormat="1" outlineLevel="1">
      <c r="A1665" s="757"/>
      <c r="B1665" s="757"/>
      <c r="C1665" s="772"/>
      <c r="D1665" s="757"/>
      <c r="E1665" s="758"/>
      <c r="F1665" s="759">
        <f t="shared" si="1251"/>
        <v>0</v>
      </c>
      <c r="G1665" s="759">
        <f t="shared" si="1251"/>
        <v>0</v>
      </c>
      <c r="H1665" s="132"/>
    </row>
    <row r="1666" spans="1:8" s="760" customFormat="1" outlineLevel="1">
      <c r="A1666" s="757"/>
      <c r="B1666" s="757" t="s">
        <v>9</v>
      </c>
      <c r="C1666" s="801" t="s">
        <v>445</v>
      </c>
      <c r="D1666" s="801"/>
      <c r="E1666" s="758"/>
      <c r="F1666" s="759">
        <f t="shared" si="1251"/>
        <v>0</v>
      </c>
      <c r="G1666" s="759">
        <f t="shared" si="1251"/>
        <v>0</v>
      </c>
      <c r="H1666" s="132"/>
    </row>
    <row r="1667" spans="1:8" s="760" customFormat="1" outlineLevel="1">
      <c r="A1667" s="757"/>
      <c r="B1667" s="757"/>
      <c r="C1667" s="801" t="s">
        <v>446</v>
      </c>
      <c r="D1667" s="801"/>
      <c r="E1667" s="758"/>
      <c r="F1667" s="759">
        <f t="shared" si="1251"/>
        <v>0</v>
      </c>
      <c r="G1667" s="759">
        <f t="shared" si="1251"/>
        <v>0</v>
      </c>
      <c r="H1667" s="132"/>
    </row>
    <row r="1668" spans="1:8" s="760" customFormat="1" outlineLevel="1">
      <c r="A1668" s="757"/>
      <c r="B1668" s="761">
        <v>1</v>
      </c>
      <c r="C1668" s="801" t="s">
        <v>447</v>
      </c>
      <c r="D1668" s="801"/>
      <c r="E1668" s="758"/>
      <c r="F1668" s="759">
        <f t="shared" si="1251"/>
        <v>0</v>
      </c>
      <c r="G1668" s="759">
        <f t="shared" si="1251"/>
        <v>0</v>
      </c>
      <c r="H1668" s="132"/>
    </row>
    <row r="1669" spans="1:8" s="760" customFormat="1" outlineLevel="3">
      <c r="A1669" s="757"/>
      <c r="B1669" s="761"/>
      <c r="C1669" s="772" t="s">
        <v>228</v>
      </c>
      <c r="D1669" s="757"/>
      <c r="E1669" s="758"/>
      <c r="F1669" s="759">
        <f t="shared" si="1251"/>
        <v>0</v>
      </c>
      <c r="G1669" s="759">
        <f t="shared" si="1251"/>
        <v>0</v>
      </c>
      <c r="H1669" s="132"/>
    </row>
    <row r="1670" spans="1:8" s="765" customFormat="1" outlineLevel="3">
      <c r="A1670" s="745"/>
      <c r="B1670" s="745"/>
      <c r="C1670" s="762">
        <v>2210200</v>
      </c>
      <c r="D1670" s="763" t="s">
        <v>19</v>
      </c>
      <c r="E1670" s="764">
        <f>SUM(E1671:E1673)</f>
        <v>270000</v>
      </c>
      <c r="F1670" s="759">
        <f t="shared" si="1251"/>
        <v>297000</v>
      </c>
      <c r="G1670" s="759">
        <f t="shared" si="1251"/>
        <v>326700</v>
      </c>
      <c r="H1670" s="132"/>
    </row>
    <row r="1671" spans="1:8" s="127" customFormat="1" outlineLevel="3">
      <c r="A1671" s="766"/>
      <c r="B1671" s="766"/>
      <c r="C1671" s="767">
        <v>2210201</v>
      </c>
      <c r="D1671" s="768" t="s">
        <v>20</v>
      </c>
      <c r="E1671" s="769">
        <v>200000</v>
      </c>
      <c r="F1671" s="759">
        <f t="shared" si="1251"/>
        <v>220000.00000000003</v>
      </c>
      <c r="G1671" s="759">
        <f t="shared" si="1251"/>
        <v>242000.00000000006</v>
      </c>
      <c r="H1671" s="132"/>
    </row>
    <row r="1672" spans="1:8" s="127" customFormat="1" outlineLevel="3">
      <c r="A1672" s="766"/>
      <c r="B1672" s="766"/>
      <c r="C1672" s="767">
        <v>2210202</v>
      </c>
      <c r="D1672" s="768" t="s">
        <v>439</v>
      </c>
      <c r="E1672" s="769">
        <v>60000</v>
      </c>
      <c r="F1672" s="759">
        <f t="shared" si="1251"/>
        <v>66000</v>
      </c>
      <c r="G1672" s="759">
        <f t="shared" si="1251"/>
        <v>72600</v>
      </c>
      <c r="H1672" s="132"/>
    </row>
    <row r="1673" spans="1:8" s="127" customFormat="1" outlineLevel="3">
      <c r="A1673" s="766"/>
      <c r="B1673" s="766"/>
      <c r="C1673" s="767">
        <v>2210203</v>
      </c>
      <c r="D1673" s="768" t="s">
        <v>22</v>
      </c>
      <c r="E1673" s="769">
        <v>10000</v>
      </c>
      <c r="F1673" s="759">
        <f t="shared" si="1251"/>
        <v>11000</v>
      </c>
      <c r="G1673" s="759">
        <f t="shared" si="1251"/>
        <v>12100.000000000002</v>
      </c>
      <c r="H1673" s="132"/>
    </row>
    <row r="1674" spans="1:8" s="765" customFormat="1" ht="30" outlineLevel="3">
      <c r="A1674" s="745"/>
      <c r="B1674" s="745"/>
      <c r="C1674" s="762">
        <v>2210300</v>
      </c>
      <c r="D1674" s="763" t="s">
        <v>23</v>
      </c>
      <c r="E1674" s="764">
        <f>SUM(E1675:E1677)</f>
        <v>1500000</v>
      </c>
      <c r="F1674" s="759">
        <f t="shared" si="1251"/>
        <v>1650000.0000000002</v>
      </c>
      <c r="G1674" s="759">
        <f t="shared" si="1251"/>
        <v>1815000.0000000005</v>
      </c>
      <c r="H1674" s="132"/>
    </row>
    <row r="1675" spans="1:8" s="127" customFormat="1" outlineLevel="3">
      <c r="A1675" s="766"/>
      <c r="B1675" s="766"/>
      <c r="C1675" s="767">
        <v>2210301</v>
      </c>
      <c r="D1675" s="768" t="s">
        <v>448</v>
      </c>
      <c r="E1675" s="774">
        <v>700000</v>
      </c>
      <c r="F1675" s="759">
        <f t="shared" si="1251"/>
        <v>770000.00000000012</v>
      </c>
      <c r="G1675" s="759">
        <f t="shared" si="1251"/>
        <v>847000.00000000023</v>
      </c>
      <c r="H1675" s="132"/>
    </row>
    <row r="1676" spans="1:8" s="127" customFormat="1" outlineLevel="3">
      <c r="A1676" s="766"/>
      <c r="B1676" s="766"/>
      <c r="C1676" s="767">
        <v>2210302</v>
      </c>
      <c r="D1676" s="768" t="s">
        <v>25</v>
      </c>
      <c r="E1676" s="774">
        <v>300000</v>
      </c>
      <c r="F1676" s="759">
        <f t="shared" si="1251"/>
        <v>330000</v>
      </c>
      <c r="G1676" s="759">
        <f t="shared" si="1251"/>
        <v>363000.00000000006</v>
      </c>
      <c r="H1676" s="132"/>
    </row>
    <row r="1677" spans="1:8" s="127" customFormat="1" outlineLevel="3">
      <c r="A1677" s="766"/>
      <c r="B1677" s="766"/>
      <c r="C1677" s="767">
        <v>2210303</v>
      </c>
      <c r="D1677" s="768" t="s">
        <v>26</v>
      </c>
      <c r="E1677" s="774">
        <v>500000</v>
      </c>
      <c r="F1677" s="759">
        <f t="shared" ref="F1677:G1692" si="1252">E1677*1.1</f>
        <v>550000</v>
      </c>
      <c r="G1677" s="759">
        <f t="shared" si="1252"/>
        <v>605000</v>
      </c>
      <c r="H1677" s="132"/>
    </row>
    <row r="1678" spans="1:8" s="765" customFormat="1" outlineLevel="3">
      <c r="A1678" s="745"/>
      <c r="B1678" s="745"/>
      <c r="C1678" s="762">
        <v>2210500</v>
      </c>
      <c r="D1678" s="763" t="s">
        <v>30</v>
      </c>
      <c r="E1678" s="764">
        <f>SUM(E1679:E1681)</f>
        <v>413000</v>
      </c>
      <c r="F1678" s="759">
        <f t="shared" si="1252"/>
        <v>454300.00000000006</v>
      </c>
      <c r="G1678" s="759">
        <f t="shared" si="1252"/>
        <v>499730.00000000012</v>
      </c>
      <c r="H1678" s="132"/>
    </row>
    <row r="1679" spans="1:8" s="127" customFormat="1" outlineLevel="3">
      <c r="A1679" s="766"/>
      <c r="B1679" s="766"/>
      <c r="C1679" s="767">
        <v>2210502</v>
      </c>
      <c r="D1679" s="768" t="s">
        <v>162</v>
      </c>
      <c r="E1679" s="769">
        <v>100000</v>
      </c>
      <c r="F1679" s="759">
        <f t="shared" si="1252"/>
        <v>110000.00000000001</v>
      </c>
      <c r="G1679" s="759">
        <f t="shared" si="1252"/>
        <v>121000.00000000003</v>
      </c>
      <c r="H1679" s="132"/>
    </row>
    <row r="1680" spans="1:8" s="127" customFormat="1" outlineLevel="3">
      <c r="A1680" s="766"/>
      <c r="B1680" s="766"/>
      <c r="C1680" s="767">
        <v>2210503</v>
      </c>
      <c r="D1680" s="768" t="s">
        <v>31</v>
      </c>
      <c r="E1680" s="769">
        <v>65000</v>
      </c>
      <c r="F1680" s="759">
        <f t="shared" si="1252"/>
        <v>71500</v>
      </c>
      <c r="G1680" s="759">
        <f t="shared" si="1252"/>
        <v>78650</v>
      </c>
      <c r="H1680" s="132"/>
    </row>
    <row r="1681" spans="1:8" s="127" customFormat="1" outlineLevel="3">
      <c r="A1681" s="766"/>
      <c r="B1681" s="766"/>
      <c r="C1681" s="767">
        <v>2210504</v>
      </c>
      <c r="D1681" s="768" t="s">
        <v>32</v>
      </c>
      <c r="E1681" s="769">
        <v>248000</v>
      </c>
      <c r="F1681" s="759">
        <f t="shared" si="1252"/>
        <v>272800</v>
      </c>
      <c r="G1681" s="759">
        <f t="shared" si="1252"/>
        <v>300080</v>
      </c>
      <c r="H1681" s="132"/>
    </row>
    <row r="1682" spans="1:8" s="765" customFormat="1" outlineLevel="3">
      <c r="A1682" s="745"/>
      <c r="B1682" s="745"/>
      <c r="C1682" s="762">
        <v>2210700</v>
      </c>
      <c r="D1682" s="763" t="s">
        <v>34</v>
      </c>
      <c r="E1682" s="764">
        <f>SUM(E1683:E1686)</f>
        <v>815000</v>
      </c>
      <c r="F1682" s="759">
        <f t="shared" si="1252"/>
        <v>896500.00000000012</v>
      </c>
      <c r="G1682" s="759">
        <f t="shared" si="1252"/>
        <v>986150.00000000023</v>
      </c>
      <c r="H1682" s="132"/>
    </row>
    <row r="1683" spans="1:8" s="127" customFormat="1" outlineLevel="3">
      <c r="A1683" s="766"/>
      <c r="B1683" s="766"/>
      <c r="C1683" s="767">
        <v>2210701</v>
      </c>
      <c r="D1683" s="768" t="s">
        <v>210</v>
      </c>
      <c r="E1683" s="769">
        <v>75000</v>
      </c>
      <c r="F1683" s="759">
        <f t="shared" si="1252"/>
        <v>82500</v>
      </c>
      <c r="G1683" s="759">
        <f t="shared" si="1252"/>
        <v>90750.000000000015</v>
      </c>
      <c r="H1683" s="132"/>
    </row>
    <row r="1684" spans="1:8" s="127" customFormat="1" outlineLevel="3">
      <c r="A1684" s="766"/>
      <c r="B1684" s="766"/>
      <c r="C1684" s="767">
        <v>2210704</v>
      </c>
      <c r="D1684" s="768" t="s">
        <v>37</v>
      </c>
      <c r="E1684" s="769">
        <v>100000</v>
      </c>
      <c r="F1684" s="759">
        <f t="shared" si="1252"/>
        <v>110000.00000000001</v>
      </c>
      <c r="G1684" s="759">
        <f t="shared" si="1252"/>
        <v>121000.00000000003</v>
      </c>
      <c r="H1684" s="132"/>
    </row>
    <row r="1685" spans="1:8" s="127" customFormat="1" outlineLevel="3">
      <c r="A1685" s="766"/>
      <c r="B1685" s="766"/>
      <c r="C1685" s="767">
        <v>2210710</v>
      </c>
      <c r="D1685" s="768" t="s">
        <v>449</v>
      </c>
      <c r="E1685" s="774">
        <v>240000</v>
      </c>
      <c r="F1685" s="759">
        <f t="shared" si="1252"/>
        <v>264000</v>
      </c>
      <c r="G1685" s="759">
        <f t="shared" si="1252"/>
        <v>290400</v>
      </c>
      <c r="H1685" s="132"/>
    </row>
    <row r="1686" spans="1:8" s="127" customFormat="1" outlineLevel="3">
      <c r="A1686" s="766"/>
      <c r="B1686" s="766"/>
      <c r="C1686" s="767">
        <v>2210715</v>
      </c>
      <c r="D1686" s="768" t="s">
        <v>450</v>
      </c>
      <c r="E1686" s="774">
        <v>400000</v>
      </c>
      <c r="F1686" s="759">
        <f t="shared" si="1252"/>
        <v>440000.00000000006</v>
      </c>
      <c r="G1686" s="759">
        <f t="shared" si="1252"/>
        <v>484000.00000000012</v>
      </c>
      <c r="H1686" s="132"/>
    </row>
    <row r="1687" spans="1:8" s="765" customFormat="1" outlineLevel="3">
      <c r="A1687" s="745"/>
      <c r="B1687" s="745"/>
      <c r="C1687" s="762">
        <v>2210800</v>
      </c>
      <c r="D1687" s="763" t="s">
        <v>41</v>
      </c>
      <c r="E1687" s="764">
        <f>SUM(E1688:E1689)</f>
        <v>450000</v>
      </c>
      <c r="F1687" s="759">
        <f t="shared" si="1252"/>
        <v>495000.00000000006</v>
      </c>
      <c r="G1687" s="759">
        <f t="shared" si="1252"/>
        <v>544500.00000000012</v>
      </c>
      <c r="H1687" s="132"/>
    </row>
    <row r="1688" spans="1:8" s="127" customFormat="1" ht="30" outlineLevel="3">
      <c r="A1688" s="766"/>
      <c r="B1688" s="766"/>
      <c r="C1688" s="767">
        <v>2210801</v>
      </c>
      <c r="D1688" s="768" t="s">
        <v>85</v>
      </c>
      <c r="E1688" s="769">
        <v>300000</v>
      </c>
      <c r="F1688" s="759">
        <f t="shared" si="1252"/>
        <v>330000</v>
      </c>
      <c r="G1688" s="759">
        <f t="shared" si="1252"/>
        <v>363000.00000000006</v>
      </c>
      <c r="H1688" s="132"/>
    </row>
    <row r="1689" spans="1:8" s="127" customFormat="1" outlineLevel="3">
      <c r="A1689" s="766"/>
      <c r="B1689" s="766"/>
      <c r="C1689" s="767">
        <v>2210802</v>
      </c>
      <c r="D1689" s="768" t="s">
        <v>86</v>
      </c>
      <c r="E1689" s="769">
        <v>150000</v>
      </c>
      <c r="F1689" s="759">
        <f t="shared" si="1252"/>
        <v>165000</v>
      </c>
      <c r="G1689" s="759">
        <f t="shared" si="1252"/>
        <v>181500.00000000003</v>
      </c>
      <c r="H1689" s="132"/>
    </row>
    <row r="1690" spans="1:8" s="765" customFormat="1" outlineLevel="3">
      <c r="A1690" s="745"/>
      <c r="B1690" s="745"/>
      <c r="C1690" s="762">
        <v>2211100</v>
      </c>
      <c r="D1690" s="763" t="s">
        <v>49</v>
      </c>
      <c r="E1690" s="764">
        <f>SUM(E1691:E1693)</f>
        <v>750000</v>
      </c>
      <c r="F1690" s="759">
        <f t="shared" si="1252"/>
        <v>825000.00000000012</v>
      </c>
      <c r="G1690" s="759">
        <f t="shared" si="1252"/>
        <v>907500.00000000023</v>
      </c>
      <c r="H1690" s="132"/>
    </row>
    <row r="1691" spans="1:8" s="127" customFormat="1" ht="30" outlineLevel="3">
      <c r="A1691" s="766"/>
      <c r="B1691" s="766"/>
      <c r="C1691" s="767">
        <v>2211101</v>
      </c>
      <c r="D1691" s="768" t="s">
        <v>87</v>
      </c>
      <c r="E1691" s="769">
        <v>400000</v>
      </c>
      <c r="F1691" s="759">
        <f t="shared" si="1252"/>
        <v>440000.00000000006</v>
      </c>
      <c r="G1691" s="759">
        <f t="shared" si="1252"/>
        <v>484000.00000000012</v>
      </c>
      <c r="H1691" s="132"/>
    </row>
    <row r="1692" spans="1:8" s="127" customFormat="1" outlineLevel="3">
      <c r="A1692" s="766"/>
      <c r="B1692" s="766"/>
      <c r="C1692" s="767">
        <v>2211102</v>
      </c>
      <c r="D1692" s="768" t="s">
        <v>51</v>
      </c>
      <c r="E1692" s="769">
        <v>200000</v>
      </c>
      <c r="F1692" s="759">
        <f t="shared" si="1252"/>
        <v>220000.00000000003</v>
      </c>
      <c r="G1692" s="759">
        <f t="shared" si="1252"/>
        <v>242000.00000000006</v>
      </c>
      <c r="H1692" s="132"/>
    </row>
    <row r="1693" spans="1:8" s="127" customFormat="1" outlineLevel="3">
      <c r="A1693" s="766"/>
      <c r="B1693" s="766"/>
      <c r="C1693" s="767">
        <v>2211103</v>
      </c>
      <c r="D1693" s="768" t="s">
        <v>52</v>
      </c>
      <c r="E1693" s="769">
        <v>150000</v>
      </c>
      <c r="F1693" s="759">
        <f t="shared" ref="F1693:G1708" si="1253">E1693*1.1</f>
        <v>165000</v>
      </c>
      <c r="G1693" s="759">
        <f t="shared" si="1253"/>
        <v>181500.00000000003</v>
      </c>
      <c r="H1693" s="132"/>
    </row>
    <row r="1694" spans="1:8" s="765" customFormat="1" outlineLevel="3">
      <c r="A1694" s="745"/>
      <c r="B1694" s="745"/>
      <c r="C1694" s="762">
        <v>2211200</v>
      </c>
      <c r="D1694" s="763" t="s">
        <v>53</v>
      </c>
      <c r="E1694" s="770">
        <f>E1695</f>
        <v>1500000</v>
      </c>
      <c r="F1694" s="759">
        <f t="shared" si="1253"/>
        <v>1650000.0000000002</v>
      </c>
      <c r="G1694" s="759">
        <f t="shared" si="1253"/>
        <v>1815000.0000000005</v>
      </c>
      <c r="H1694" s="132"/>
    </row>
    <row r="1695" spans="1:8" s="127" customFormat="1" outlineLevel="3">
      <c r="A1695" s="766"/>
      <c r="B1695" s="766"/>
      <c r="C1695" s="767">
        <v>2211201</v>
      </c>
      <c r="D1695" s="768" t="s">
        <v>91</v>
      </c>
      <c r="E1695" s="771">
        <v>1500000</v>
      </c>
      <c r="F1695" s="759">
        <f t="shared" si="1253"/>
        <v>1650000.0000000002</v>
      </c>
      <c r="G1695" s="759">
        <f t="shared" si="1253"/>
        <v>1815000.0000000005</v>
      </c>
      <c r="H1695" s="132"/>
    </row>
    <row r="1696" spans="1:8" s="765" customFormat="1" outlineLevel="3">
      <c r="A1696" s="745"/>
      <c r="B1696" s="745"/>
      <c r="C1696" s="762">
        <v>2211300</v>
      </c>
      <c r="D1696" s="763" t="s">
        <v>55</v>
      </c>
      <c r="E1696" s="764">
        <f>SUM(E1697:E1698)</f>
        <v>320000</v>
      </c>
      <c r="F1696" s="759">
        <f t="shared" si="1253"/>
        <v>352000</v>
      </c>
      <c r="G1696" s="759">
        <f t="shared" si="1253"/>
        <v>387200.00000000006</v>
      </c>
      <c r="H1696" s="132"/>
    </row>
    <row r="1697" spans="1:8" s="127" customFormat="1" outlineLevel="3">
      <c r="A1697" s="766"/>
      <c r="B1697" s="766"/>
      <c r="C1697" s="767">
        <v>2211305</v>
      </c>
      <c r="D1697" s="768" t="s">
        <v>451</v>
      </c>
      <c r="E1697" s="769">
        <v>220000</v>
      </c>
      <c r="F1697" s="759">
        <f t="shared" si="1253"/>
        <v>242000.00000000003</v>
      </c>
      <c r="G1697" s="759">
        <f t="shared" si="1253"/>
        <v>266200.00000000006</v>
      </c>
      <c r="H1697" s="132"/>
    </row>
    <row r="1698" spans="1:8" s="127" customFormat="1" ht="30" outlineLevel="3">
      <c r="A1698" s="766"/>
      <c r="B1698" s="766"/>
      <c r="C1698" s="767">
        <v>2211306</v>
      </c>
      <c r="D1698" s="768" t="s">
        <v>57</v>
      </c>
      <c r="E1698" s="769">
        <v>100000</v>
      </c>
      <c r="F1698" s="759">
        <f t="shared" si="1253"/>
        <v>110000.00000000001</v>
      </c>
      <c r="G1698" s="759">
        <f t="shared" si="1253"/>
        <v>121000.00000000003</v>
      </c>
      <c r="H1698" s="132"/>
    </row>
    <row r="1699" spans="1:8" s="127" customFormat="1" ht="30" outlineLevel="3">
      <c r="A1699" s="766"/>
      <c r="B1699" s="766"/>
      <c r="C1699" s="762">
        <v>2220100</v>
      </c>
      <c r="D1699" s="763" t="s">
        <v>61</v>
      </c>
      <c r="E1699" s="764">
        <f>E1700</f>
        <v>150000</v>
      </c>
      <c r="F1699" s="759">
        <f t="shared" si="1253"/>
        <v>165000</v>
      </c>
      <c r="G1699" s="759">
        <f t="shared" si="1253"/>
        <v>181500.00000000003</v>
      </c>
      <c r="H1699" s="132"/>
    </row>
    <row r="1700" spans="1:8" s="127" customFormat="1" outlineLevel="3">
      <c r="A1700" s="766"/>
      <c r="B1700" s="766"/>
      <c r="C1700" s="767">
        <v>2220101</v>
      </c>
      <c r="D1700" s="768" t="s">
        <v>441</v>
      </c>
      <c r="E1700" s="769">
        <v>150000</v>
      </c>
      <c r="F1700" s="759">
        <f t="shared" si="1253"/>
        <v>165000</v>
      </c>
      <c r="G1700" s="759">
        <f t="shared" si="1253"/>
        <v>181500.00000000003</v>
      </c>
      <c r="H1700" s="132"/>
    </row>
    <row r="1701" spans="1:8" s="127" customFormat="1" outlineLevel="3">
      <c r="A1701" s="766"/>
      <c r="B1701" s="766"/>
      <c r="C1701" s="762">
        <v>3111000</v>
      </c>
      <c r="D1701" s="763" t="s">
        <v>65</v>
      </c>
      <c r="E1701" s="764">
        <f>SUM(E1702:E1703)</f>
        <v>500000</v>
      </c>
      <c r="F1701" s="759">
        <f t="shared" si="1253"/>
        <v>550000</v>
      </c>
      <c r="G1701" s="759">
        <f t="shared" si="1253"/>
        <v>605000</v>
      </c>
      <c r="H1701" s="132"/>
    </row>
    <row r="1702" spans="1:8" s="127" customFormat="1" outlineLevel="3">
      <c r="A1702" s="766"/>
      <c r="B1702" s="766"/>
      <c r="C1702" s="767">
        <v>3111001</v>
      </c>
      <c r="D1702" s="768" t="s">
        <v>442</v>
      </c>
      <c r="E1702" s="769">
        <v>200000</v>
      </c>
      <c r="F1702" s="759">
        <f t="shared" si="1253"/>
        <v>220000.00000000003</v>
      </c>
      <c r="G1702" s="759">
        <f t="shared" si="1253"/>
        <v>242000.00000000006</v>
      </c>
      <c r="H1702" s="132"/>
    </row>
    <row r="1703" spans="1:8" s="127" customFormat="1" outlineLevel="3">
      <c r="A1703" s="766"/>
      <c r="B1703" s="766"/>
      <c r="C1703" s="767">
        <v>3111002</v>
      </c>
      <c r="D1703" s="768" t="s">
        <v>443</v>
      </c>
      <c r="E1703" s="769">
        <v>300000</v>
      </c>
      <c r="F1703" s="759">
        <f t="shared" si="1253"/>
        <v>330000</v>
      </c>
      <c r="G1703" s="759">
        <f t="shared" si="1253"/>
        <v>363000.00000000006</v>
      </c>
      <c r="H1703" s="132"/>
    </row>
    <row r="1704" spans="1:8" s="765" customFormat="1" ht="30" outlineLevel="3">
      <c r="A1704" s="745"/>
      <c r="B1704" s="745"/>
      <c r="C1704" s="762">
        <v>3111400</v>
      </c>
      <c r="D1704" s="763" t="s">
        <v>351</v>
      </c>
      <c r="E1704" s="764">
        <f>SUM(E1705:E1705)</f>
        <v>500000</v>
      </c>
      <c r="F1704" s="759">
        <f t="shared" si="1253"/>
        <v>550000</v>
      </c>
      <c r="G1704" s="759">
        <f t="shared" si="1253"/>
        <v>605000</v>
      </c>
      <c r="H1704" s="132"/>
    </row>
    <row r="1705" spans="1:8" s="127" customFormat="1" ht="45" outlineLevel="3">
      <c r="A1705" s="766"/>
      <c r="B1705" s="766"/>
      <c r="C1705" s="767">
        <v>3111402</v>
      </c>
      <c r="D1705" s="768" t="s">
        <v>452</v>
      </c>
      <c r="E1705" s="769">
        <v>500000</v>
      </c>
      <c r="F1705" s="759">
        <f t="shared" si="1253"/>
        <v>550000</v>
      </c>
      <c r="G1705" s="759">
        <f t="shared" si="1253"/>
        <v>605000</v>
      </c>
      <c r="H1705" s="132"/>
    </row>
    <row r="1706" spans="1:8" s="760" customFormat="1" outlineLevel="2">
      <c r="A1706" s="757"/>
      <c r="B1706" s="757"/>
      <c r="C1706" s="801" t="s">
        <v>453</v>
      </c>
      <c r="D1706" s="801"/>
      <c r="E1706" s="773">
        <f>E1670+E1674+E1678+E1682+E1687+E1690+E1694+E1696+E1699+E1701+E1704</f>
        <v>7168000</v>
      </c>
      <c r="F1706" s="759">
        <f t="shared" si="1253"/>
        <v>7884800.0000000009</v>
      </c>
      <c r="G1706" s="759">
        <f t="shared" si="1253"/>
        <v>8673280.0000000019</v>
      </c>
      <c r="H1706" s="132"/>
    </row>
    <row r="1707" spans="1:8" s="760" customFormat="1" outlineLevel="2">
      <c r="A1707" s="757"/>
      <c r="B1707" s="757"/>
      <c r="C1707" s="772"/>
      <c r="D1707" s="757"/>
      <c r="E1707" s="758"/>
      <c r="F1707" s="759">
        <f t="shared" si="1253"/>
        <v>0</v>
      </c>
      <c r="G1707" s="759">
        <f t="shared" si="1253"/>
        <v>0</v>
      </c>
      <c r="H1707" s="132"/>
    </row>
    <row r="1708" spans="1:8" s="760" customFormat="1" outlineLevel="2">
      <c r="A1708" s="757"/>
      <c r="B1708" s="757"/>
      <c r="C1708" s="813" t="s">
        <v>454</v>
      </c>
      <c r="D1708" s="814"/>
      <c r="E1708" s="758"/>
      <c r="F1708" s="759">
        <f t="shared" si="1253"/>
        <v>0</v>
      </c>
      <c r="G1708" s="759">
        <f t="shared" si="1253"/>
        <v>0</v>
      </c>
      <c r="H1708" s="132"/>
    </row>
    <row r="1709" spans="1:8" s="760" customFormat="1" outlineLevel="2">
      <c r="A1709" s="757"/>
      <c r="B1709" s="757"/>
      <c r="C1709" s="801" t="s">
        <v>447</v>
      </c>
      <c r="D1709" s="801"/>
      <c r="E1709" s="758"/>
      <c r="F1709" s="759">
        <f t="shared" ref="F1709:G1724" si="1254">E1709*1.1</f>
        <v>0</v>
      </c>
      <c r="G1709" s="759">
        <f t="shared" si="1254"/>
        <v>0</v>
      </c>
      <c r="H1709" s="132"/>
    </row>
    <row r="1710" spans="1:8" s="760" customFormat="1" outlineLevel="2">
      <c r="A1710" s="757"/>
      <c r="B1710" s="757"/>
      <c r="C1710" s="772" t="s">
        <v>184</v>
      </c>
      <c r="D1710" s="757"/>
      <c r="E1710" s="758"/>
      <c r="F1710" s="759">
        <f t="shared" si="1254"/>
        <v>0</v>
      </c>
      <c r="G1710" s="759">
        <f t="shared" si="1254"/>
        <v>0</v>
      </c>
      <c r="H1710" s="132"/>
    </row>
    <row r="1711" spans="1:8" s="760" customFormat="1" ht="30" outlineLevel="3">
      <c r="A1711" s="757"/>
      <c r="B1711" s="757"/>
      <c r="C1711" s="762">
        <v>2220100</v>
      </c>
      <c r="D1711" s="763" t="s">
        <v>61</v>
      </c>
      <c r="E1711" s="770">
        <f>E1712</f>
        <v>1500000</v>
      </c>
      <c r="F1711" s="759">
        <f t="shared" si="1254"/>
        <v>1650000.0000000002</v>
      </c>
      <c r="G1711" s="759">
        <f t="shared" si="1254"/>
        <v>1815000.0000000005</v>
      </c>
      <c r="H1711" s="132"/>
    </row>
    <row r="1712" spans="1:8" s="760" customFormat="1" outlineLevel="3">
      <c r="A1712" s="757"/>
      <c r="B1712" s="757"/>
      <c r="C1712" s="767">
        <v>2220105</v>
      </c>
      <c r="D1712" s="768" t="s">
        <v>225</v>
      </c>
      <c r="E1712" s="771">
        <v>1500000</v>
      </c>
      <c r="F1712" s="759">
        <f t="shared" si="1254"/>
        <v>1650000.0000000002</v>
      </c>
      <c r="G1712" s="759">
        <f t="shared" si="1254"/>
        <v>1815000.0000000005</v>
      </c>
      <c r="H1712" s="132"/>
    </row>
    <row r="1713" spans="1:8" s="127" customFormat="1" outlineLevel="3">
      <c r="A1713" s="766"/>
      <c r="B1713" s="766"/>
      <c r="C1713" s="775">
        <v>3110200</v>
      </c>
      <c r="D1713" s="763" t="s">
        <v>455</v>
      </c>
      <c r="E1713" s="776">
        <f>E1714+E1715+E1716</f>
        <v>44500000</v>
      </c>
      <c r="F1713" s="759">
        <f t="shared" si="1254"/>
        <v>48950000.000000007</v>
      </c>
      <c r="G1713" s="759">
        <f t="shared" si="1254"/>
        <v>53845000.000000015</v>
      </c>
      <c r="H1713" s="132"/>
    </row>
    <row r="1714" spans="1:8" s="127" customFormat="1" ht="60" outlineLevel="3">
      <c r="A1714" s="766"/>
      <c r="B1714" s="766"/>
      <c r="C1714" s="777">
        <v>3110202</v>
      </c>
      <c r="D1714" s="768" t="s">
        <v>456</v>
      </c>
      <c r="E1714" s="778">
        <v>5500000</v>
      </c>
      <c r="F1714" s="759">
        <f t="shared" si="1254"/>
        <v>6050000.0000000009</v>
      </c>
      <c r="G1714" s="759">
        <f t="shared" si="1254"/>
        <v>6655000.0000000019</v>
      </c>
      <c r="H1714" s="132"/>
    </row>
    <row r="1715" spans="1:8" s="127" customFormat="1" ht="45" outlineLevel="3">
      <c r="A1715" s="766"/>
      <c r="B1715" s="766"/>
      <c r="C1715" s="777">
        <v>3110202</v>
      </c>
      <c r="D1715" s="768" t="s">
        <v>457</v>
      </c>
      <c r="E1715" s="771">
        <v>2000000</v>
      </c>
      <c r="F1715" s="759">
        <f t="shared" si="1254"/>
        <v>2200000</v>
      </c>
      <c r="G1715" s="759">
        <f t="shared" si="1254"/>
        <v>2420000</v>
      </c>
      <c r="H1715" s="132"/>
    </row>
    <row r="1716" spans="1:8" s="127" customFormat="1" ht="30" outlineLevel="3">
      <c r="A1716" s="766"/>
      <c r="B1716" s="766"/>
      <c r="C1716" s="777">
        <v>3110299</v>
      </c>
      <c r="D1716" s="768" t="s">
        <v>458</v>
      </c>
      <c r="E1716" s="778">
        <v>37000000</v>
      </c>
      <c r="F1716" s="759">
        <f t="shared" si="1254"/>
        <v>40700000</v>
      </c>
      <c r="G1716" s="759">
        <f t="shared" si="1254"/>
        <v>44770000</v>
      </c>
      <c r="H1716" s="132"/>
    </row>
    <row r="1717" spans="1:8" s="127" customFormat="1" outlineLevel="2">
      <c r="A1717" s="766"/>
      <c r="B1717" s="766"/>
      <c r="C1717" s="815" t="s">
        <v>459</v>
      </c>
      <c r="D1717" s="816"/>
      <c r="E1717" s="779">
        <f>E1713+E1711</f>
        <v>46000000</v>
      </c>
      <c r="F1717" s="759">
        <f t="shared" si="1254"/>
        <v>50600000.000000007</v>
      </c>
      <c r="G1717" s="759">
        <f t="shared" si="1254"/>
        <v>55660000.000000015</v>
      </c>
      <c r="H1717" s="132"/>
    </row>
    <row r="1718" spans="1:8" s="760" customFormat="1" outlineLevel="1">
      <c r="A1718" s="757"/>
      <c r="B1718" s="757"/>
      <c r="C1718" s="801" t="s">
        <v>460</v>
      </c>
      <c r="D1718" s="801"/>
      <c r="E1718" s="773">
        <f>E1717+E1706</f>
        <v>53168000</v>
      </c>
      <c r="F1718" s="759">
        <f t="shared" si="1254"/>
        <v>58484800.000000007</v>
      </c>
      <c r="G1718" s="759">
        <f t="shared" si="1254"/>
        <v>64333280.000000015</v>
      </c>
      <c r="H1718" s="132"/>
    </row>
    <row r="1719" spans="1:8" s="760" customFormat="1" outlineLevel="1">
      <c r="A1719" s="757"/>
      <c r="B1719" s="757"/>
      <c r="C1719" s="772"/>
      <c r="D1719" s="757"/>
      <c r="E1719" s="758"/>
      <c r="F1719" s="759">
        <f t="shared" si="1254"/>
        <v>0</v>
      </c>
      <c r="G1719" s="759">
        <f t="shared" si="1254"/>
        <v>0</v>
      </c>
      <c r="H1719" s="132"/>
    </row>
    <row r="1720" spans="1:8" s="760" customFormat="1" outlineLevel="1">
      <c r="A1720" s="757"/>
      <c r="B1720" s="757"/>
      <c r="C1720" s="813" t="s">
        <v>461</v>
      </c>
      <c r="D1720" s="814"/>
      <c r="E1720" s="758"/>
      <c r="F1720" s="759">
        <f t="shared" si="1254"/>
        <v>0</v>
      </c>
      <c r="G1720" s="759">
        <f t="shared" si="1254"/>
        <v>0</v>
      </c>
      <c r="H1720" s="132"/>
    </row>
    <row r="1721" spans="1:8" s="760" customFormat="1" outlineLevel="1">
      <c r="A1721" s="757"/>
      <c r="B1721" s="761">
        <v>1</v>
      </c>
      <c r="C1721" s="801" t="s">
        <v>462</v>
      </c>
      <c r="D1721" s="801"/>
      <c r="E1721" s="758"/>
      <c r="F1721" s="759">
        <f t="shared" si="1254"/>
        <v>0</v>
      </c>
      <c r="G1721" s="759">
        <f t="shared" si="1254"/>
        <v>0</v>
      </c>
      <c r="H1721" s="132"/>
    </row>
    <row r="1722" spans="1:8" s="760" customFormat="1" outlineLevel="1">
      <c r="A1722" s="757"/>
      <c r="B1722" s="757"/>
      <c r="C1722" s="801" t="s">
        <v>463</v>
      </c>
      <c r="D1722" s="801"/>
      <c r="E1722" s="758"/>
      <c r="F1722" s="759">
        <f t="shared" si="1254"/>
        <v>0</v>
      </c>
      <c r="G1722" s="759">
        <f t="shared" si="1254"/>
        <v>0</v>
      </c>
      <c r="H1722" s="132"/>
    </row>
    <row r="1723" spans="1:8" s="760" customFormat="1" outlineLevel="1">
      <c r="A1723" s="757"/>
      <c r="B1723" s="757"/>
      <c r="C1723" s="772" t="s">
        <v>228</v>
      </c>
      <c r="D1723" s="757"/>
      <c r="E1723" s="758"/>
      <c r="F1723" s="759">
        <f t="shared" si="1254"/>
        <v>0</v>
      </c>
      <c r="G1723" s="759">
        <f t="shared" si="1254"/>
        <v>0</v>
      </c>
      <c r="H1723" s="132"/>
    </row>
    <row r="1724" spans="1:8" s="765" customFormat="1" outlineLevel="3">
      <c r="A1724" s="745"/>
      <c r="B1724" s="745"/>
      <c r="C1724" s="762">
        <v>2210200</v>
      </c>
      <c r="D1724" s="763" t="s">
        <v>19</v>
      </c>
      <c r="E1724" s="764">
        <f>SUM(E1725:E1727)</f>
        <v>318000</v>
      </c>
      <c r="F1724" s="759">
        <f t="shared" si="1254"/>
        <v>349800</v>
      </c>
      <c r="G1724" s="759">
        <f t="shared" si="1254"/>
        <v>384780.00000000006</v>
      </c>
      <c r="H1724" s="132"/>
    </row>
    <row r="1725" spans="1:8" s="127" customFormat="1" outlineLevel="3">
      <c r="A1725" s="766"/>
      <c r="B1725" s="766"/>
      <c r="C1725" s="767">
        <v>2210201</v>
      </c>
      <c r="D1725" s="768" t="s">
        <v>20</v>
      </c>
      <c r="E1725" s="769">
        <v>248000</v>
      </c>
      <c r="F1725" s="759">
        <f t="shared" ref="F1725:G1740" si="1255">E1725*1.1</f>
        <v>272800</v>
      </c>
      <c r="G1725" s="759">
        <f t="shared" si="1255"/>
        <v>300080</v>
      </c>
      <c r="H1725" s="132"/>
    </row>
    <row r="1726" spans="1:8" s="127" customFormat="1" outlineLevel="3">
      <c r="A1726" s="766"/>
      <c r="B1726" s="766"/>
      <c r="C1726" s="767">
        <v>2210202</v>
      </c>
      <c r="D1726" s="768" t="s">
        <v>439</v>
      </c>
      <c r="E1726" s="769">
        <v>60000</v>
      </c>
      <c r="F1726" s="759">
        <f t="shared" si="1255"/>
        <v>66000</v>
      </c>
      <c r="G1726" s="759">
        <f t="shared" si="1255"/>
        <v>72600</v>
      </c>
      <c r="H1726" s="132"/>
    </row>
    <row r="1727" spans="1:8" s="127" customFormat="1" outlineLevel="3">
      <c r="A1727" s="766"/>
      <c r="B1727" s="766"/>
      <c r="C1727" s="767">
        <v>2210203</v>
      </c>
      <c r="D1727" s="768" t="s">
        <v>22</v>
      </c>
      <c r="E1727" s="769">
        <v>10000</v>
      </c>
      <c r="F1727" s="759">
        <f t="shared" si="1255"/>
        <v>11000</v>
      </c>
      <c r="G1727" s="759">
        <f t="shared" si="1255"/>
        <v>12100.000000000002</v>
      </c>
      <c r="H1727" s="132"/>
    </row>
    <row r="1728" spans="1:8" s="765" customFormat="1" ht="30" outlineLevel="3">
      <c r="A1728" s="745"/>
      <c r="B1728" s="745"/>
      <c r="C1728" s="762">
        <v>2210300</v>
      </c>
      <c r="D1728" s="763" t="s">
        <v>23</v>
      </c>
      <c r="E1728" s="764">
        <f>SUM(E1729:E1731)</f>
        <v>1900000</v>
      </c>
      <c r="F1728" s="759">
        <f t="shared" si="1255"/>
        <v>2090000.0000000002</v>
      </c>
      <c r="G1728" s="759">
        <f t="shared" si="1255"/>
        <v>2299000.0000000005</v>
      </c>
      <c r="H1728" s="132"/>
    </row>
    <row r="1729" spans="1:8" s="127" customFormat="1" outlineLevel="3">
      <c r="A1729" s="766"/>
      <c r="B1729" s="766"/>
      <c r="C1729" s="767">
        <v>2210301</v>
      </c>
      <c r="D1729" s="768" t="s">
        <v>24</v>
      </c>
      <c r="E1729" s="769">
        <v>700000</v>
      </c>
      <c r="F1729" s="759">
        <f t="shared" si="1255"/>
        <v>770000.00000000012</v>
      </c>
      <c r="G1729" s="759">
        <f t="shared" si="1255"/>
        <v>847000.00000000023</v>
      </c>
      <c r="H1729" s="132"/>
    </row>
    <row r="1730" spans="1:8" s="127" customFormat="1" outlineLevel="3">
      <c r="A1730" s="766"/>
      <c r="B1730" s="766"/>
      <c r="C1730" s="767">
        <v>2210302</v>
      </c>
      <c r="D1730" s="768" t="s">
        <v>25</v>
      </c>
      <c r="E1730" s="769">
        <v>600000</v>
      </c>
      <c r="F1730" s="759">
        <f t="shared" si="1255"/>
        <v>660000</v>
      </c>
      <c r="G1730" s="759">
        <f t="shared" si="1255"/>
        <v>726000.00000000012</v>
      </c>
      <c r="H1730" s="132"/>
    </row>
    <row r="1731" spans="1:8" s="127" customFormat="1" outlineLevel="3">
      <c r="A1731" s="766"/>
      <c r="B1731" s="766"/>
      <c r="C1731" s="767">
        <v>2210303</v>
      </c>
      <c r="D1731" s="768" t="s">
        <v>26</v>
      </c>
      <c r="E1731" s="769">
        <v>600000</v>
      </c>
      <c r="F1731" s="759">
        <f t="shared" si="1255"/>
        <v>660000</v>
      </c>
      <c r="G1731" s="759">
        <f t="shared" si="1255"/>
        <v>726000.00000000012</v>
      </c>
      <c r="H1731" s="132"/>
    </row>
    <row r="1732" spans="1:8" s="765" customFormat="1" outlineLevel="3">
      <c r="A1732" s="745"/>
      <c r="B1732" s="745"/>
      <c r="C1732" s="762">
        <v>2210500</v>
      </c>
      <c r="D1732" s="763" t="s">
        <v>30</v>
      </c>
      <c r="E1732" s="764">
        <f>SUM(E1733:E1735)</f>
        <v>365000</v>
      </c>
      <c r="F1732" s="759">
        <f t="shared" si="1255"/>
        <v>401500.00000000006</v>
      </c>
      <c r="G1732" s="759">
        <f t="shared" si="1255"/>
        <v>441650.00000000012</v>
      </c>
      <c r="H1732" s="132"/>
    </row>
    <row r="1733" spans="1:8" s="127" customFormat="1" outlineLevel="3">
      <c r="A1733" s="766"/>
      <c r="B1733" s="766"/>
      <c r="C1733" s="767">
        <v>2210502</v>
      </c>
      <c r="D1733" s="768" t="s">
        <v>162</v>
      </c>
      <c r="E1733" s="769">
        <v>100000</v>
      </c>
      <c r="F1733" s="759">
        <f t="shared" si="1255"/>
        <v>110000.00000000001</v>
      </c>
      <c r="G1733" s="759">
        <f t="shared" si="1255"/>
        <v>121000.00000000003</v>
      </c>
      <c r="H1733" s="132"/>
    </row>
    <row r="1734" spans="1:8" s="127" customFormat="1" outlineLevel="3">
      <c r="A1734" s="766"/>
      <c r="B1734" s="766"/>
      <c r="C1734" s="767">
        <v>2210503</v>
      </c>
      <c r="D1734" s="768" t="s">
        <v>31</v>
      </c>
      <c r="E1734" s="769">
        <v>65000</v>
      </c>
      <c r="F1734" s="759">
        <f t="shared" si="1255"/>
        <v>71500</v>
      </c>
      <c r="G1734" s="759">
        <f t="shared" si="1255"/>
        <v>78650</v>
      </c>
      <c r="H1734" s="132"/>
    </row>
    <row r="1735" spans="1:8" s="127" customFormat="1" outlineLevel="3">
      <c r="A1735" s="766"/>
      <c r="B1735" s="766"/>
      <c r="C1735" s="767">
        <v>2210504</v>
      </c>
      <c r="D1735" s="768" t="s">
        <v>32</v>
      </c>
      <c r="E1735" s="769">
        <v>200000</v>
      </c>
      <c r="F1735" s="759">
        <f t="shared" si="1255"/>
        <v>220000.00000000003</v>
      </c>
      <c r="G1735" s="759">
        <f t="shared" si="1255"/>
        <v>242000.00000000006</v>
      </c>
      <c r="H1735" s="132"/>
    </row>
    <row r="1736" spans="1:8" s="765" customFormat="1" outlineLevel="3">
      <c r="A1736" s="745"/>
      <c r="B1736" s="745"/>
      <c r="C1736" s="762">
        <v>2210700</v>
      </c>
      <c r="D1736" s="763" t="s">
        <v>34</v>
      </c>
      <c r="E1736" s="764">
        <f>SUM(E1737:E1740)</f>
        <v>735000</v>
      </c>
      <c r="F1736" s="759">
        <f t="shared" si="1255"/>
        <v>808500.00000000012</v>
      </c>
      <c r="G1736" s="759">
        <f t="shared" si="1255"/>
        <v>889350.00000000023</v>
      </c>
      <c r="H1736" s="132"/>
    </row>
    <row r="1737" spans="1:8" s="127" customFormat="1" outlineLevel="3">
      <c r="A1737" s="766"/>
      <c r="B1737" s="766"/>
      <c r="C1737" s="767">
        <v>2210701</v>
      </c>
      <c r="D1737" s="768" t="s">
        <v>210</v>
      </c>
      <c r="E1737" s="769">
        <v>75000</v>
      </c>
      <c r="F1737" s="759">
        <f t="shared" si="1255"/>
        <v>82500</v>
      </c>
      <c r="G1737" s="759">
        <f t="shared" si="1255"/>
        <v>90750.000000000015</v>
      </c>
      <c r="H1737" s="132"/>
    </row>
    <row r="1738" spans="1:8" s="127" customFormat="1" outlineLevel="3">
      <c r="A1738" s="766"/>
      <c r="B1738" s="766"/>
      <c r="C1738" s="767">
        <v>2210704</v>
      </c>
      <c r="D1738" s="768" t="s">
        <v>37</v>
      </c>
      <c r="E1738" s="769">
        <v>100000</v>
      </c>
      <c r="F1738" s="759">
        <f t="shared" si="1255"/>
        <v>110000.00000000001</v>
      </c>
      <c r="G1738" s="759">
        <f t="shared" si="1255"/>
        <v>121000.00000000003</v>
      </c>
      <c r="H1738" s="132"/>
    </row>
    <row r="1739" spans="1:8" s="127" customFormat="1" outlineLevel="3">
      <c r="A1739" s="766"/>
      <c r="B1739" s="766"/>
      <c r="C1739" s="767">
        <v>2210710</v>
      </c>
      <c r="D1739" s="768" t="s">
        <v>449</v>
      </c>
      <c r="E1739" s="769">
        <v>180000</v>
      </c>
      <c r="F1739" s="759">
        <f t="shared" si="1255"/>
        <v>198000.00000000003</v>
      </c>
      <c r="G1739" s="759">
        <f t="shared" si="1255"/>
        <v>217800.00000000006</v>
      </c>
      <c r="H1739" s="132"/>
    </row>
    <row r="1740" spans="1:8" s="127" customFormat="1" outlineLevel="3">
      <c r="A1740" s="766"/>
      <c r="B1740" s="766"/>
      <c r="C1740" s="767">
        <v>2210715</v>
      </c>
      <c r="D1740" s="768" t="s">
        <v>464</v>
      </c>
      <c r="E1740" s="769">
        <v>380000</v>
      </c>
      <c r="F1740" s="759">
        <f t="shared" si="1255"/>
        <v>418000.00000000006</v>
      </c>
      <c r="G1740" s="759">
        <f t="shared" si="1255"/>
        <v>459800.00000000012</v>
      </c>
      <c r="H1740" s="132"/>
    </row>
    <row r="1741" spans="1:8" s="765" customFormat="1" outlineLevel="3">
      <c r="A1741" s="745"/>
      <c r="B1741" s="745"/>
      <c r="C1741" s="762">
        <v>2210800</v>
      </c>
      <c r="D1741" s="763" t="s">
        <v>41</v>
      </c>
      <c r="E1741" s="764">
        <f>SUM(E1742:E1743)</f>
        <v>650000</v>
      </c>
      <c r="F1741" s="759">
        <f t="shared" ref="F1741:G1756" si="1256">E1741*1.1</f>
        <v>715000</v>
      </c>
      <c r="G1741" s="759">
        <f t="shared" si="1256"/>
        <v>786500.00000000012</v>
      </c>
      <c r="H1741" s="132"/>
    </row>
    <row r="1742" spans="1:8" s="127" customFormat="1" ht="30" outlineLevel="3">
      <c r="A1742" s="766"/>
      <c r="B1742" s="766"/>
      <c r="C1742" s="767">
        <v>2210801</v>
      </c>
      <c r="D1742" s="768" t="s">
        <v>85</v>
      </c>
      <c r="E1742" s="769">
        <v>400000</v>
      </c>
      <c r="F1742" s="759">
        <f t="shared" si="1256"/>
        <v>440000.00000000006</v>
      </c>
      <c r="G1742" s="759">
        <f t="shared" si="1256"/>
        <v>484000.00000000012</v>
      </c>
      <c r="H1742" s="132"/>
    </row>
    <row r="1743" spans="1:8" s="127" customFormat="1" outlineLevel="3">
      <c r="A1743" s="766"/>
      <c r="B1743" s="766"/>
      <c r="C1743" s="767">
        <v>2210802</v>
      </c>
      <c r="D1743" s="768" t="s">
        <v>86</v>
      </c>
      <c r="E1743" s="769">
        <v>250000</v>
      </c>
      <c r="F1743" s="759">
        <f t="shared" si="1256"/>
        <v>275000</v>
      </c>
      <c r="G1743" s="759">
        <f t="shared" si="1256"/>
        <v>302500</v>
      </c>
      <c r="H1743" s="132"/>
    </row>
    <row r="1744" spans="1:8" s="765" customFormat="1" outlineLevel="3">
      <c r="A1744" s="745"/>
      <c r="B1744" s="745"/>
      <c r="C1744" s="762">
        <v>2211000</v>
      </c>
      <c r="D1744" s="763" t="s">
        <v>173</v>
      </c>
      <c r="E1744" s="764">
        <f>SUM(E1745:E1745)</f>
        <v>240000</v>
      </c>
      <c r="F1744" s="759">
        <f t="shared" si="1256"/>
        <v>264000</v>
      </c>
      <c r="G1744" s="759">
        <f t="shared" si="1256"/>
        <v>290400</v>
      </c>
      <c r="H1744" s="132"/>
    </row>
    <row r="1745" spans="1:8" s="127" customFormat="1" outlineLevel="3">
      <c r="A1745" s="766"/>
      <c r="B1745" s="766"/>
      <c r="C1745" s="767">
        <v>2211016</v>
      </c>
      <c r="D1745" s="768" t="s">
        <v>219</v>
      </c>
      <c r="E1745" s="769">
        <v>240000</v>
      </c>
      <c r="F1745" s="759">
        <f t="shared" si="1256"/>
        <v>264000</v>
      </c>
      <c r="G1745" s="759">
        <f t="shared" si="1256"/>
        <v>290400</v>
      </c>
      <c r="H1745" s="132"/>
    </row>
    <row r="1746" spans="1:8" s="765" customFormat="1" outlineLevel="3">
      <c r="A1746" s="745"/>
      <c r="B1746" s="745"/>
      <c r="C1746" s="762">
        <v>2211100</v>
      </c>
      <c r="D1746" s="763" t="s">
        <v>49</v>
      </c>
      <c r="E1746" s="764">
        <f>SUM(E1747:E1749)</f>
        <v>850000</v>
      </c>
      <c r="F1746" s="759">
        <f t="shared" si="1256"/>
        <v>935000.00000000012</v>
      </c>
      <c r="G1746" s="759">
        <f t="shared" si="1256"/>
        <v>1028500.0000000002</v>
      </c>
      <c r="H1746" s="132"/>
    </row>
    <row r="1747" spans="1:8" s="127" customFormat="1" ht="30" outlineLevel="3">
      <c r="A1747" s="766"/>
      <c r="B1747" s="766"/>
      <c r="C1747" s="767">
        <v>2211101</v>
      </c>
      <c r="D1747" s="768" t="s">
        <v>87</v>
      </c>
      <c r="E1747" s="769">
        <v>300000</v>
      </c>
      <c r="F1747" s="759">
        <f t="shared" si="1256"/>
        <v>330000</v>
      </c>
      <c r="G1747" s="759">
        <f t="shared" si="1256"/>
        <v>363000.00000000006</v>
      </c>
      <c r="H1747" s="132"/>
    </row>
    <row r="1748" spans="1:8" s="127" customFormat="1" outlineLevel="3">
      <c r="A1748" s="766"/>
      <c r="B1748" s="766"/>
      <c r="C1748" s="767">
        <v>2211102</v>
      </c>
      <c r="D1748" s="768" t="s">
        <v>51</v>
      </c>
      <c r="E1748" s="769">
        <v>400000</v>
      </c>
      <c r="F1748" s="759">
        <f t="shared" si="1256"/>
        <v>440000.00000000006</v>
      </c>
      <c r="G1748" s="759">
        <f t="shared" si="1256"/>
        <v>484000.00000000012</v>
      </c>
      <c r="H1748" s="132"/>
    </row>
    <row r="1749" spans="1:8" s="127" customFormat="1" outlineLevel="3">
      <c r="A1749" s="766"/>
      <c r="B1749" s="766"/>
      <c r="C1749" s="767">
        <v>2211103</v>
      </c>
      <c r="D1749" s="768" t="s">
        <v>52</v>
      </c>
      <c r="E1749" s="769">
        <v>150000</v>
      </c>
      <c r="F1749" s="759">
        <f t="shared" si="1256"/>
        <v>165000</v>
      </c>
      <c r="G1749" s="759">
        <f t="shared" si="1256"/>
        <v>181500.00000000003</v>
      </c>
      <c r="H1749" s="132"/>
    </row>
    <row r="1750" spans="1:8" s="765" customFormat="1" outlineLevel="3">
      <c r="A1750" s="745"/>
      <c r="B1750" s="745"/>
      <c r="C1750" s="762">
        <v>2211200</v>
      </c>
      <c r="D1750" s="763" t="s">
        <v>53</v>
      </c>
      <c r="E1750" s="770">
        <f>E1751</f>
        <v>1500000</v>
      </c>
      <c r="F1750" s="759">
        <f t="shared" si="1256"/>
        <v>1650000.0000000002</v>
      </c>
      <c r="G1750" s="759">
        <f t="shared" si="1256"/>
        <v>1815000.0000000005</v>
      </c>
      <c r="H1750" s="132"/>
    </row>
    <row r="1751" spans="1:8" s="127" customFormat="1" outlineLevel="3">
      <c r="A1751" s="766"/>
      <c r="B1751" s="766"/>
      <c r="C1751" s="767">
        <v>2211201</v>
      </c>
      <c r="D1751" s="768" t="s">
        <v>91</v>
      </c>
      <c r="E1751" s="771">
        <v>1500000</v>
      </c>
      <c r="F1751" s="759">
        <f t="shared" si="1256"/>
        <v>1650000.0000000002</v>
      </c>
      <c r="G1751" s="759">
        <f t="shared" si="1256"/>
        <v>1815000.0000000005</v>
      </c>
      <c r="H1751" s="132"/>
    </row>
    <row r="1752" spans="1:8" s="765" customFormat="1" outlineLevel="3">
      <c r="A1752" s="745"/>
      <c r="B1752" s="745"/>
      <c r="C1752" s="762">
        <v>2211300</v>
      </c>
      <c r="D1752" s="763" t="s">
        <v>55</v>
      </c>
      <c r="E1752" s="764">
        <f>SUM(E1753:E1754)</f>
        <v>300000</v>
      </c>
      <c r="F1752" s="759">
        <f t="shared" si="1256"/>
        <v>330000</v>
      </c>
      <c r="G1752" s="759">
        <f t="shared" si="1256"/>
        <v>363000.00000000006</v>
      </c>
      <c r="H1752" s="132"/>
    </row>
    <row r="1753" spans="1:8" s="127" customFormat="1" outlineLevel="3">
      <c r="A1753" s="766"/>
      <c r="B1753" s="766"/>
      <c r="C1753" s="767">
        <v>2211305</v>
      </c>
      <c r="D1753" s="768" t="s">
        <v>451</v>
      </c>
      <c r="E1753" s="769">
        <v>200000</v>
      </c>
      <c r="F1753" s="759">
        <f t="shared" si="1256"/>
        <v>220000.00000000003</v>
      </c>
      <c r="G1753" s="759">
        <f t="shared" si="1256"/>
        <v>242000.00000000006</v>
      </c>
      <c r="H1753" s="132"/>
    </row>
    <row r="1754" spans="1:8" s="127" customFormat="1" ht="30" outlineLevel="3">
      <c r="A1754" s="766"/>
      <c r="B1754" s="766"/>
      <c r="C1754" s="767">
        <v>2211306</v>
      </c>
      <c r="D1754" s="768" t="s">
        <v>57</v>
      </c>
      <c r="E1754" s="769">
        <v>100000</v>
      </c>
      <c r="F1754" s="759">
        <f t="shared" si="1256"/>
        <v>110000.00000000001</v>
      </c>
      <c r="G1754" s="759">
        <f t="shared" si="1256"/>
        <v>121000.00000000003</v>
      </c>
      <c r="H1754" s="132"/>
    </row>
    <row r="1755" spans="1:8" s="127" customFormat="1" ht="30" outlineLevel="3">
      <c r="A1755" s="766"/>
      <c r="B1755" s="766"/>
      <c r="C1755" s="762">
        <v>2220100</v>
      </c>
      <c r="D1755" s="763" t="s">
        <v>61</v>
      </c>
      <c r="E1755" s="764">
        <f>E1756</f>
        <v>150000</v>
      </c>
      <c r="F1755" s="759">
        <f t="shared" si="1256"/>
        <v>165000</v>
      </c>
      <c r="G1755" s="759">
        <f t="shared" si="1256"/>
        <v>181500.00000000003</v>
      </c>
      <c r="H1755" s="132"/>
    </row>
    <row r="1756" spans="1:8" s="127" customFormat="1" outlineLevel="3">
      <c r="A1756" s="766"/>
      <c r="B1756" s="766"/>
      <c r="C1756" s="767">
        <v>2220101</v>
      </c>
      <c r="D1756" s="768" t="s">
        <v>441</v>
      </c>
      <c r="E1756" s="769">
        <v>150000</v>
      </c>
      <c r="F1756" s="759">
        <f t="shared" si="1256"/>
        <v>165000</v>
      </c>
      <c r="G1756" s="759">
        <f t="shared" si="1256"/>
        <v>181500.00000000003</v>
      </c>
      <c r="H1756" s="132"/>
    </row>
    <row r="1757" spans="1:8" s="765" customFormat="1" outlineLevel="3">
      <c r="A1757" s="745"/>
      <c r="B1757" s="745"/>
      <c r="C1757" s="762">
        <v>3111000</v>
      </c>
      <c r="D1757" s="763" t="s">
        <v>65</v>
      </c>
      <c r="E1757" s="764">
        <f>SUM(E1758:E1759)</f>
        <v>500000</v>
      </c>
      <c r="F1757" s="759">
        <f t="shared" ref="F1757:G1772" si="1257">E1757*1.1</f>
        <v>550000</v>
      </c>
      <c r="G1757" s="759">
        <f t="shared" si="1257"/>
        <v>605000</v>
      </c>
      <c r="H1757" s="132"/>
    </row>
    <row r="1758" spans="1:8" s="127" customFormat="1" outlineLevel="3">
      <c r="A1758" s="766"/>
      <c r="B1758" s="766"/>
      <c r="C1758" s="767">
        <v>3111001</v>
      </c>
      <c r="D1758" s="768" t="s">
        <v>442</v>
      </c>
      <c r="E1758" s="769">
        <v>300000</v>
      </c>
      <c r="F1758" s="759">
        <f t="shared" si="1257"/>
        <v>330000</v>
      </c>
      <c r="G1758" s="759">
        <f t="shared" si="1257"/>
        <v>363000.00000000006</v>
      </c>
      <c r="H1758" s="132"/>
    </row>
    <row r="1759" spans="1:8" s="127" customFormat="1" outlineLevel="3">
      <c r="A1759" s="766"/>
      <c r="B1759" s="766"/>
      <c r="C1759" s="767">
        <v>3111002</v>
      </c>
      <c r="D1759" s="768" t="s">
        <v>443</v>
      </c>
      <c r="E1759" s="769">
        <v>200000</v>
      </c>
      <c r="F1759" s="759">
        <f t="shared" si="1257"/>
        <v>220000.00000000003</v>
      </c>
      <c r="G1759" s="759">
        <f t="shared" si="1257"/>
        <v>242000.00000000006</v>
      </c>
      <c r="H1759" s="132"/>
    </row>
    <row r="1760" spans="1:8" s="765" customFormat="1" outlineLevel="3">
      <c r="A1760" s="745"/>
      <c r="B1760" s="745"/>
      <c r="C1760" s="762">
        <v>3111400</v>
      </c>
      <c r="D1760" s="763" t="s">
        <v>465</v>
      </c>
      <c r="E1760" s="764">
        <f>SUM(E1761:E1761)</f>
        <v>600000</v>
      </c>
      <c r="F1760" s="759">
        <f t="shared" si="1257"/>
        <v>660000</v>
      </c>
      <c r="G1760" s="759">
        <f t="shared" si="1257"/>
        <v>726000.00000000012</v>
      </c>
      <c r="H1760" s="132"/>
    </row>
    <row r="1761" spans="1:8" s="127" customFormat="1" ht="45" outlineLevel="3">
      <c r="A1761" s="766"/>
      <c r="B1761" s="766"/>
      <c r="C1761" s="767">
        <v>3111402</v>
      </c>
      <c r="D1761" s="768" t="s">
        <v>452</v>
      </c>
      <c r="E1761" s="769">
        <v>600000</v>
      </c>
      <c r="F1761" s="759">
        <f t="shared" si="1257"/>
        <v>660000</v>
      </c>
      <c r="G1761" s="759">
        <f t="shared" si="1257"/>
        <v>726000.00000000012</v>
      </c>
      <c r="H1761" s="132"/>
    </row>
    <row r="1762" spans="1:8" s="760" customFormat="1" outlineLevel="2">
      <c r="A1762" s="757"/>
      <c r="B1762" s="757"/>
      <c r="C1762" s="801" t="s">
        <v>466</v>
      </c>
      <c r="D1762" s="801"/>
      <c r="E1762" s="773">
        <f>E1760+E1757+E1755+E1752+E1750+E1746+E1744+E1741+E1736+E1732+E1728+E1724</f>
        <v>8108000</v>
      </c>
      <c r="F1762" s="759">
        <f t="shared" si="1257"/>
        <v>8918800</v>
      </c>
      <c r="G1762" s="759">
        <f t="shared" si="1257"/>
        <v>9810680</v>
      </c>
      <c r="H1762" s="132"/>
    </row>
    <row r="1763" spans="1:8" s="760" customFormat="1" outlineLevel="2">
      <c r="A1763" s="757"/>
      <c r="B1763" s="757"/>
      <c r="C1763" s="772"/>
      <c r="D1763" s="757"/>
      <c r="E1763" s="773"/>
      <c r="F1763" s="759">
        <f t="shared" si="1257"/>
        <v>0</v>
      </c>
      <c r="G1763" s="759">
        <f t="shared" si="1257"/>
        <v>0</v>
      </c>
      <c r="H1763" s="132"/>
    </row>
    <row r="1764" spans="1:8" s="760" customFormat="1" outlineLevel="2">
      <c r="A1764" s="757"/>
      <c r="B1764" s="757"/>
      <c r="C1764" s="801" t="s">
        <v>461</v>
      </c>
      <c r="D1764" s="801"/>
      <c r="E1764" s="773"/>
      <c r="F1764" s="759">
        <f t="shared" si="1257"/>
        <v>0</v>
      </c>
      <c r="G1764" s="759">
        <f t="shared" si="1257"/>
        <v>0</v>
      </c>
      <c r="H1764" s="132"/>
    </row>
    <row r="1765" spans="1:8" s="760" customFormat="1" outlineLevel="2">
      <c r="A1765" s="757"/>
      <c r="B1765" s="757"/>
      <c r="C1765" s="772" t="s">
        <v>184</v>
      </c>
      <c r="D1765" s="757"/>
      <c r="E1765" s="758"/>
      <c r="F1765" s="759">
        <f t="shared" si="1257"/>
        <v>0</v>
      </c>
      <c r="G1765" s="759">
        <f t="shared" si="1257"/>
        <v>0</v>
      </c>
      <c r="H1765" s="132"/>
    </row>
    <row r="1766" spans="1:8" s="760" customFormat="1" ht="30" outlineLevel="3">
      <c r="A1766" s="757"/>
      <c r="B1766" s="757"/>
      <c r="C1766" s="762">
        <v>2220100</v>
      </c>
      <c r="D1766" s="763" t="s">
        <v>61</v>
      </c>
      <c r="E1766" s="770">
        <f>E1767</f>
        <v>1500000</v>
      </c>
      <c r="F1766" s="759">
        <f t="shared" si="1257"/>
        <v>1650000.0000000002</v>
      </c>
      <c r="G1766" s="759">
        <f t="shared" si="1257"/>
        <v>1815000.0000000005</v>
      </c>
      <c r="H1766" s="132"/>
    </row>
    <row r="1767" spans="1:8" s="760" customFormat="1" outlineLevel="3">
      <c r="A1767" s="757"/>
      <c r="B1767" s="757"/>
      <c r="C1767" s="767">
        <v>2220105</v>
      </c>
      <c r="D1767" s="768" t="s">
        <v>225</v>
      </c>
      <c r="E1767" s="771">
        <v>1500000</v>
      </c>
      <c r="F1767" s="759">
        <f t="shared" si="1257"/>
        <v>1650000.0000000002</v>
      </c>
      <c r="G1767" s="759">
        <f t="shared" si="1257"/>
        <v>1815000.0000000005</v>
      </c>
      <c r="H1767" s="132"/>
    </row>
    <row r="1768" spans="1:8" s="765" customFormat="1" outlineLevel="3">
      <c r="A1768" s="745"/>
      <c r="B1768" s="745"/>
      <c r="C1768" s="762">
        <v>3110400</v>
      </c>
      <c r="D1768" s="763" t="s">
        <v>467</v>
      </c>
      <c r="E1768" s="764">
        <f>SUM(E1769:E1772)</f>
        <v>318000000</v>
      </c>
      <c r="F1768" s="759">
        <f t="shared" si="1257"/>
        <v>349800000</v>
      </c>
      <c r="G1768" s="759">
        <f t="shared" si="1257"/>
        <v>384780000.00000006</v>
      </c>
      <c r="H1768" s="132"/>
    </row>
    <row r="1769" spans="1:8" s="127" customFormat="1" ht="30" outlineLevel="3">
      <c r="A1769" s="766"/>
      <c r="B1769" s="766"/>
      <c r="C1769" s="767">
        <v>3110401</v>
      </c>
      <c r="D1769" s="768" t="s">
        <v>468</v>
      </c>
      <c r="E1769" s="769">
        <v>50000000</v>
      </c>
      <c r="F1769" s="759">
        <f t="shared" si="1257"/>
        <v>55000000.000000007</v>
      </c>
      <c r="G1769" s="759">
        <f t="shared" si="1257"/>
        <v>60500000.000000015</v>
      </c>
      <c r="H1769" s="132"/>
    </row>
    <row r="1770" spans="1:8" s="127" customFormat="1" ht="30" outlineLevel="3">
      <c r="A1770" s="766"/>
      <c r="B1770" s="766"/>
      <c r="C1770" s="767">
        <v>3110499</v>
      </c>
      <c r="D1770" s="768" t="s">
        <v>469</v>
      </c>
      <c r="E1770" s="769">
        <v>96000000</v>
      </c>
      <c r="F1770" s="759">
        <f t="shared" si="1257"/>
        <v>105600000.00000001</v>
      </c>
      <c r="G1770" s="759">
        <f t="shared" si="1257"/>
        <v>116160000.00000003</v>
      </c>
      <c r="H1770" s="132"/>
    </row>
    <row r="1771" spans="1:8" s="127" customFormat="1" ht="30" outlineLevel="3">
      <c r="A1771" s="768"/>
      <c r="B1771" s="768"/>
      <c r="C1771" s="777">
        <v>3110499</v>
      </c>
      <c r="D1771" s="768" t="s">
        <v>470</v>
      </c>
      <c r="E1771" s="778">
        <v>17000000</v>
      </c>
      <c r="F1771" s="759">
        <f t="shared" si="1257"/>
        <v>18700000</v>
      </c>
      <c r="G1771" s="759">
        <f t="shared" si="1257"/>
        <v>20570000</v>
      </c>
      <c r="H1771" s="132"/>
    </row>
    <row r="1772" spans="1:8" s="127" customFormat="1" outlineLevel="3">
      <c r="A1772" s="768"/>
      <c r="B1772" s="768"/>
      <c r="C1772" s="777">
        <v>3110499</v>
      </c>
      <c r="D1772" s="768" t="s">
        <v>471</v>
      </c>
      <c r="E1772" s="778">
        <f>177400000-22400000</f>
        <v>155000000</v>
      </c>
      <c r="F1772" s="759">
        <f t="shared" si="1257"/>
        <v>170500000</v>
      </c>
      <c r="G1772" s="759">
        <f t="shared" si="1257"/>
        <v>187550000.00000003</v>
      </c>
      <c r="H1772" s="132"/>
    </row>
    <row r="1773" spans="1:8" s="760" customFormat="1" outlineLevel="2">
      <c r="A1773" s="757"/>
      <c r="B1773" s="757"/>
      <c r="C1773" s="801" t="s">
        <v>472</v>
      </c>
      <c r="D1773" s="801"/>
      <c r="E1773" s="773">
        <f>E1768+E1766</f>
        <v>319500000</v>
      </c>
      <c r="F1773" s="759">
        <f t="shared" ref="F1773:G1788" si="1258">E1773*1.1</f>
        <v>351450000</v>
      </c>
      <c r="G1773" s="759">
        <f t="shared" si="1258"/>
        <v>386595000.00000006</v>
      </c>
      <c r="H1773" s="132"/>
    </row>
    <row r="1774" spans="1:8" s="760" customFormat="1" outlineLevel="1">
      <c r="A1774" s="757"/>
      <c r="B1774" s="757"/>
      <c r="C1774" s="813" t="s">
        <v>473</v>
      </c>
      <c r="D1774" s="814"/>
      <c r="E1774" s="773">
        <f>E1762+E1773</f>
        <v>327608000</v>
      </c>
      <c r="F1774" s="759">
        <f t="shared" si="1258"/>
        <v>360368800</v>
      </c>
      <c r="G1774" s="759">
        <f t="shared" si="1258"/>
        <v>396405680.00000006</v>
      </c>
      <c r="H1774" s="132"/>
    </row>
    <row r="1775" spans="1:8" s="760" customFormat="1" outlineLevel="1">
      <c r="A1775" s="757"/>
      <c r="B1775" s="757"/>
      <c r="C1775" s="772"/>
      <c r="D1775" s="757"/>
      <c r="E1775" s="780"/>
      <c r="F1775" s="759">
        <f t="shared" si="1258"/>
        <v>0</v>
      </c>
      <c r="G1775" s="759">
        <f t="shared" si="1258"/>
        <v>0</v>
      </c>
      <c r="H1775" s="132"/>
    </row>
    <row r="1776" spans="1:8" s="760" customFormat="1" outlineLevel="1">
      <c r="A1776" s="757"/>
      <c r="B1776" s="757" t="s">
        <v>361</v>
      </c>
      <c r="C1776" s="801" t="s">
        <v>474</v>
      </c>
      <c r="D1776" s="801"/>
      <c r="E1776" s="758"/>
      <c r="F1776" s="759">
        <f t="shared" si="1258"/>
        <v>0</v>
      </c>
      <c r="G1776" s="759">
        <f t="shared" si="1258"/>
        <v>0</v>
      </c>
      <c r="H1776" s="132"/>
    </row>
    <row r="1777" spans="1:8" s="760" customFormat="1" outlineLevel="1">
      <c r="A1777" s="757"/>
      <c r="B1777" s="757"/>
      <c r="C1777" s="801" t="s">
        <v>1769</v>
      </c>
      <c r="D1777" s="801"/>
      <c r="E1777" s="758"/>
      <c r="F1777" s="759">
        <f t="shared" si="1258"/>
        <v>0</v>
      </c>
      <c r="G1777" s="759">
        <f t="shared" si="1258"/>
        <v>0</v>
      </c>
      <c r="H1777" s="132"/>
    </row>
    <row r="1778" spans="1:8" s="760" customFormat="1" outlineLevel="1">
      <c r="A1778" s="757"/>
      <c r="B1778" s="761"/>
      <c r="C1778" s="772" t="s">
        <v>228</v>
      </c>
      <c r="D1778" s="757"/>
      <c r="E1778" s="758"/>
      <c r="F1778" s="759">
        <f t="shared" si="1258"/>
        <v>0</v>
      </c>
      <c r="G1778" s="759">
        <f t="shared" si="1258"/>
        <v>0</v>
      </c>
      <c r="H1778" s="132"/>
    </row>
    <row r="1779" spans="1:8" s="760" customFormat="1" outlineLevel="3">
      <c r="A1779" s="757"/>
      <c r="B1779" s="761"/>
      <c r="C1779" s="762">
        <v>2210200</v>
      </c>
      <c r="D1779" s="763" t="s">
        <v>19</v>
      </c>
      <c r="E1779" s="764">
        <f>SUM(E1780:E1782)</f>
        <v>260000</v>
      </c>
      <c r="F1779" s="759">
        <f t="shared" si="1258"/>
        <v>286000</v>
      </c>
      <c r="G1779" s="759">
        <f t="shared" si="1258"/>
        <v>314600</v>
      </c>
      <c r="H1779" s="132"/>
    </row>
    <row r="1780" spans="1:8" s="760" customFormat="1" outlineLevel="3">
      <c r="A1780" s="757"/>
      <c r="B1780" s="761"/>
      <c r="C1780" s="767">
        <v>2210201</v>
      </c>
      <c r="D1780" s="768" t="s">
        <v>158</v>
      </c>
      <c r="E1780" s="769">
        <v>200000</v>
      </c>
      <c r="F1780" s="759">
        <f t="shared" si="1258"/>
        <v>220000.00000000003</v>
      </c>
      <c r="G1780" s="759">
        <f t="shared" si="1258"/>
        <v>242000.00000000006</v>
      </c>
      <c r="H1780" s="132"/>
    </row>
    <row r="1781" spans="1:8" s="760" customFormat="1" outlineLevel="3">
      <c r="A1781" s="757"/>
      <c r="B1781" s="761"/>
      <c r="C1781" s="767">
        <v>2210202</v>
      </c>
      <c r="D1781" s="768" t="s">
        <v>439</v>
      </c>
      <c r="E1781" s="769">
        <v>50000</v>
      </c>
      <c r="F1781" s="759">
        <f t="shared" si="1258"/>
        <v>55000.000000000007</v>
      </c>
      <c r="G1781" s="759">
        <f t="shared" si="1258"/>
        <v>60500.000000000015</v>
      </c>
      <c r="H1781" s="132"/>
    </row>
    <row r="1782" spans="1:8" s="760" customFormat="1" outlineLevel="3">
      <c r="A1782" s="757"/>
      <c r="B1782" s="761"/>
      <c r="C1782" s="767">
        <v>2210203</v>
      </c>
      <c r="D1782" s="768" t="s">
        <v>22</v>
      </c>
      <c r="E1782" s="769">
        <v>10000</v>
      </c>
      <c r="F1782" s="759">
        <f t="shared" si="1258"/>
        <v>11000</v>
      </c>
      <c r="G1782" s="759">
        <f t="shared" si="1258"/>
        <v>12100.000000000002</v>
      </c>
      <c r="H1782" s="132"/>
    </row>
    <row r="1783" spans="1:8" s="760" customFormat="1" ht="30" outlineLevel="3">
      <c r="A1783" s="757"/>
      <c r="B1783" s="761"/>
      <c r="C1783" s="762">
        <v>2210300</v>
      </c>
      <c r="D1783" s="763" t="s">
        <v>23</v>
      </c>
      <c r="E1783" s="764">
        <f>SUM(E1784:E1786)</f>
        <v>1000000</v>
      </c>
      <c r="F1783" s="759">
        <f t="shared" si="1258"/>
        <v>1100000</v>
      </c>
      <c r="G1783" s="759">
        <f t="shared" si="1258"/>
        <v>1210000</v>
      </c>
      <c r="H1783" s="132"/>
    </row>
    <row r="1784" spans="1:8" s="760" customFormat="1" outlineLevel="3">
      <c r="A1784" s="757"/>
      <c r="B1784" s="761"/>
      <c r="C1784" s="767">
        <v>2210301</v>
      </c>
      <c r="D1784" s="768" t="s">
        <v>24</v>
      </c>
      <c r="E1784" s="769">
        <v>300000</v>
      </c>
      <c r="F1784" s="759">
        <f t="shared" si="1258"/>
        <v>330000</v>
      </c>
      <c r="G1784" s="759">
        <f t="shared" si="1258"/>
        <v>363000.00000000006</v>
      </c>
      <c r="H1784" s="132"/>
    </row>
    <row r="1785" spans="1:8" s="760" customFormat="1" outlineLevel="3">
      <c r="A1785" s="757"/>
      <c r="B1785" s="761"/>
      <c r="C1785" s="767">
        <v>2210302</v>
      </c>
      <c r="D1785" s="768" t="s">
        <v>25</v>
      </c>
      <c r="E1785" s="769">
        <v>300000</v>
      </c>
      <c r="F1785" s="759">
        <f t="shared" si="1258"/>
        <v>330000</v>
      </c>
      <c r="G1785" s="759">
        <f t="shared" si="1258"/>
        <v>363000.00000000006</v>
      </c>
      <c r="H1785" s="132"/>
    </row>
    <row r="1786" spans="1:8" s="760" customFormat="1" outlineLevel="3">
      <c r="A1786" s="757"/>
      <c r="B1786" s="761"/>
      <c r="C1786" s="767">
        <v>2210303</v>
      </c>
      <c r="D1786" s="768" t="s">
        <v>26</v>
      </c>
      <c r="E1786" s="769">
        <v>400000</v>
      </c>
      <c r="F1786" s="759">
        <f t="shared" si="1258"/>
        <v>440000.00000000006</v>
      </c>
      <c r="G1786" s="759">
        <f t="shared" si="1258"/>
        <v>484000.00000000012</v>
      </c>
      <c r="H1786" s="132"/>
    </row>
    <row r="1787" spans="1:8" s="760" customFormat="1" outlineLevel="3">
      <c r="A1787" s="757"/>
      <c r="B1787" s="761"/>
      <c r="C1787" s="762">
        <v>2210500</v>
      </c>
      <c r="D1787" s="763" t="s">
        <v>30</v>
      </c>
      <c r="E1787" s="764">
        <f>SUM(E1788:E1790)</f>
        <v>550000</v>
      </c>
      <c r="F1787" s="759">
        <f t="shared" si="1258"/>
        <v>605000</v>
      </c>
      <c r="G1787" s="759">
        <f t="shared" si="1258"/>
        <v>665500</v>
      </c>
      <c r="H1787" s="132"/>
    </row>
    <row r="1788" spans="1:8" s="760" customFormat="1" outlineLevel="3">
      <c r="A1788" s="757"/>
      <c r="B1788" s="761"/>
      <c r="C1788" s="767">
        <v>2210502</v>
      </c>
      <c r="D1788" s="768" t="s">
        <v>162</v>
      </c>
      <c r="E1788" s="769">
        <v>100000</v>
      </c>
      <c r="F1788" s="759">
        <f t="shared" si="1258"/>
        <v>110000.00000000001</v>
      </c>
      <c r="G1788" s="759">
        <f t="shared" si="1258"/>
        <v>121000.00000000003</v>
      </c>
      <c r="H1788" s="132"/>
    </row>
    <row r="1789" spans="1:8" s="760" customFormat="1" outlineLevel="3">
      <c r="A1789" s="757"/>
      <c r="B1789" s="761"/>
      <c r="C1789" s="767">
        <v>2210503</v>
      </c>
      <c r="D1789" s="768" t="s">
        <v>31</v>
      </c>
      <c r="E1789" s="769">
        <v>50000</v>
      </c>
      <c r="F1789" s="759">
        <f t="shared" ref="F1789:G1804" si="1259">E1789*1.1</f>
        <v>55000.000000000007</v>
      </c>
      <c r="G1789" s="759">
        <f t="shared" si="1259"/>
        <v>60500.000000000015</v>
      </c>
      <c r="H1789" s="132"/>
    </row>
    <row r="1790" spans="1:8" s="760" customFormat="1" outlineLevel="3">
      <c r="A1790" s="757"/>
      <c r="B1790" s="761"/>
      <c r="C1790" s="767">
        <v>2210504</v>
      </c>
      <c r="D1790" s="768" t="s">
        <v>32</v>
      </c>
      <c r="E1790" s="769">
        <v>400000</v>
      </c>
      <c r="F1790" s="759">
        <f t="shared" si="1259"/>
        <v>440000.00000000006</v>
      </c>
      <c r="G1790" s="759">
        <f t="shared" si="1259"/>
        <v>484000.00000000012</v>
      </c>
      <c r="H1790" s="132"/>
    </row>
    <row r="1791" spans="1:8" s="760" customFormat="1" outlineLevel="3">
      <c r="A1791" s="757"/>
      <c r="B1791" s="761"/>
      <c r="C1791" s="762">
        <v>2210700</v>
      </c>
      <c r="D1791" s="763" t="s">
        <v>34</v>
      </c>
      <c r="E1791" s="764">
        <f>SUM(E1792:E1795)</f>
        <v>750000</v>
      </c>
      <c r="F1791" s="759">
        <f t="shared" si="1259"/>
        <v>825000.00000000012</v>
      </c>
      <c r="G1791" s="759">
        <f t="shared" si="1259"/>
        <v>907500.00000000023</v>
      </c>
      <c r="H1791" s="132"/>
    </row>
    <row r="1792" spans="1:8" s="760" customFormat="1" outlineLevel="3">
      <c r="A1792" s="757"/>
      <c r="B1792" s="761"/>
      <c r="C1792" s="767">
        <v>2210701</v>
      </c>
      <c r="D1792" s="768" t="s">
        <v>210</v>
      </c>
      <c r="E1792" s="769">
        <v>100000</v>
      </c>
      <c r="F1792" s="759">
        <f t="shared" si="1259"/>
        <v>110000.00000000001</v>
      </c>
      <c r="G1792" s="759">
        <f t="shared" si="1259"/>
        <v>121000.00000000003</v>
      </c>
      <c r="H1792" s="132"/>
    </row>
    <row r="1793" spans="1:8" s="760" customFormat="1" outlineLevel="3">
      <c r="A1793" s="757"/>
      <c r="B1793" s="761"/>
      <c r="C1793" s="767">
        <v>2210704</v>
      </c>
      <c r="D1793" s="768" t="s">
        <v>37</v>
      </c>
      <c r="E1793" s="769">
        <v>100000</v>
      </c>
      <c r="F1793" s="759">
        <f t="shared" si="1259"/>
        <v>110000.00000000001</v>
      </c>
      <c r="G1793" s="759">
        <f t="shared" si="1259"/>
        <v>121000.00000000003</v>
      </c>
      <c r="H1793" s="132"/>
    </row>
    <row r="1794" spans="1:8" s="760" customFormat="1" outlineLevel="3">
      <c r="A1794" s="757"/>
      <c r="B1794" s="761"/>
      <c r="C1794" s="767">
        <v>2210710</v>
      </c>
      <c r="D1794" s="768" t="s">
        <v>449</v>
      </c>
      <c r="E1794" s="769">
        <v>200000</v>
      </c>
      <c r="F1794" s="759">
        <f t="shared" si="1259"/>
        <v>220000.00000000003</v>
      </c>
      <c r="G1794" s="759">
        <f t="shared" si="1259"/>
        <v>242000.00000000006</v>
      </c>
      <c r="H1794" s="132"/>
    </row>
    <row r="1795" spans="1:8" s="760" customFormat="1" outlineLevel="3">
      <c r="A1795" s="757"/>
      <c r="B1795" s="761"/>
      <c r="C1795" s="767">
        <v>2210715</v>
      </c>
      <c r="D1795" s="768" t="s">
        <v>39</v>
      </c>
      <c r="E1795" s="769">
        <v>350000</v>
      </c>
      <c r="F1795" s="759">
        <f t="shared" si="1259"/>
        <v>385000.00000000006</v>
      </c>
      <c r="G1795" s="759">
        <f t="shared" si="1259"/>
        <v>423500.00000000012</v>
      </c>
      <c r="H1795" s="132"/>
    </row>
    <row r="1796" spans="1:8" s="760" customFormat="1" outlineLevel="3">
      <c r="A1796" s="757"/>
      <c r="B1796" s="761"/>
      <c r="C1796" s="762">
        <v>2210800</v>
      </c>
      <c r="D1796" s="763" t="s">
        <v>41</v>
      </c>
      <c r="E1796" s="764">
        <f>SUM(E1797:E1798)</f>
        <v>400000</v>
      </c>
      <c r="F1796" s="759">
        <f t="shared" si="1259"/>
        <v>440000.00000000006</v>
      </c>
      <c r="G1796" s="759">
        <f t="shared" si="1259"/>
        <v>484000.00000000012</v>
      </c>
      <c r="H1796" s="132"/>
    </row>
    <row r="1797" spans="1:8" s="760" customFormat="1" ht="30" outlineLevel="3">
      <c r="A1797" s="757"/>
      <c r="B1797" s="761"/>
      <c r="C1797" s="767">
        <v>2210801</v>
      </c>
      <c r="D1797" s="768" t="s">
        <v>85</v>
      </c>
      <c r="E1797" s="769">
        <v>300000</v>
      </c>
      <c r="F1797" s="759">
        <f t="shared" si="1259"/>
        <v>330000</v>
      </c>
      <c r="G1797" s="759">
        <f t="shared" si="1259"/>
        <v>363000.00000000006</v>
      </c>
      <c r="H1797" s="132"/>
    </row>
    <row r="1798" spans="1:8" s="760" customFormat="1" outlineLevel="3">
      <c r="A1798" s="757"/>
      <c r="B1798" s="761"/>
      <c r="C1798" s="767">
        <v>2210802</v>
      </c>
      <c r="D1798" s="768" t="s">
        <v>86</v>
      </c>
      <c r="E1798" s="769">
        <v>100000</v>
      </c>
      <c r="F1798" s="759">
        <f t="shared" si="1259"/>
        <v>110000.00000000001</v>
      </c>
      <c r="G1798" s="759">
        <f t="shared" si="1259"/>
        <v>121000.00000000003</v>
      </c>
      <c r="H1798" s="132"/>
    </row>
    <row r="1799" spans="1:8" s="760" customFormat="1" outlineLevel="3">
      <c r="A1799" s="757"/>
      <c r="B1799" s="761"/>
      <c r="C1799" s="762">
        <v>2211000</v>
      </c>
      <c r="D1799" s="763" t="s">
        <v>173</v>
      </c>
      <c r="E1799" s="764">
        <f>SUM(E1800:E1800)</f>
        <v>300000</v>
      </c>
      <c r="F1799" s="759">
        <f t="shared" si="1259"/>
        <v>330000</v>
      </c>
      <c r="G1799" s="759">
        <f t="shared" si="1259"/>
        <v>363000.00000000006</v>
      </c>
      <c r="H1799" s="132"/>
    </row>
    <row r="1800" spans="1:8" s="760" customFormat="1" outlineLevel="3">
      <c r="A1800" s="757"/>
      <c r="B1800" s="761"/>
      <c r="C1800" s="767">
        <v>2211016</v>
      </c>
      <c r="D1800" s="768" t="s">
        <v>219</v>
      </c>
      <c r="E1800" s="769">
        <v>300000</v>
      </c>
      <c r="F1800" s="759">
        <f t="shared" si="1259"/>
        <v>330000</v>
      </c>
      <c r="G1800" s="759">
        <f t="shared" si="1259"/>
        <v>363000.00000000006</v>
      </c>
      <c r="H1800" s="132"/>
    </row>
    <row r="1801" spans="1:8" s="760" customFormat="1" outlineLevel="3">
      <c r="A1801" s="757"/>
      <c r="B1801" s="761"/>
      <c r="C1801" s="762">
        <v>2211100</v>
      </c>
      <c r="D1801" s="763" t="s">
        <v>49</v>
      </c>
      <c r="E1801" s="764">
        <f>SUM(E1802:E1804)</f>
        <v>900000</v>
      </c>
      <c r="F1801" s="759">
        <f t="shared" si="1259"/>
        <v>990000.00000000012</v>
      </c>
      <c r="G1801" s="759">
        <f t="shared" si="1259"/>
        <v>1089000.0000000002</v>
      </c>
      <c r="H1801" s="132"/>
    </row>
    <row r="1802" spans="1:8" s="760" customFormat="1" ht="30" outlineLevel="3">
      <c r="A1802" s="757"/>
      <c r="B1802" s="761"/>
      <c r="C1802" s="767">
        <v>2211101</v>
      </c>
      <c r="D1802" s="768" t="s">
        <v>87</v>
      </c>
      <c r="E1802" s="769">
        <v>400000</v>
      </c>
      <c r="F1802" s="759">
        <f t="shared" si="1259"/>
        <v>440000.00000000006</v>
      </c>
      <c r="G1802" s="759">
        <f t="shared" si="1259"/>
        <v>484000.00000000012</v>
      </c>
      <c r="H1802" s="132"/>
    </row>
    <row r="1803" spans="1:8" s="760" customFormat="1" outlineLevel="3">
      <c r="A1803" s="757"/>
      <c r="B1803" s="761"/>
      <c r="C1803" s="767">
        <v>2211102</v>
      </c>
      <c r="D1803" s="768" t="s">
        <v>51</v>
      </c>
      <c r="E1803" s="769">
        <v>300000</v>
      </c>
      <c r="F1803" s="759">
        <f t="shared" si="1259"/>
        <v>330000</v>
      </c>
      <c r="G1803" s="759">
        <f t="shared" si="1259"/>
        <v>363000.00000000006</v>
      </c>
      <c r="H1803" s="132"/>
    </row>
    <row r="1804" spans="1:8" s="760" customFormat="1" outlineLevel="3">
      <c r="A1804" s="757"/>
      <c r="B1804" s="761"/>
      <c r="C1804" s="767">
        <v>2211103</v>
      </c>
      <c r="D1804" s="768" t="s">
        <v>52</v>
      </c>
      <c r="E1804" s="769">
        <v>200000</v>
      </c>
      <c r="F1804" s="759">
        <f t="shared" si="1259"/>
        <v>220000.00000000003</v>
      </c>
      <c r="G1804" s="759">
        <f t="shared" si="1259"/>
        <v>242000.00000000006</v>
      </c>
      <c r="H1804" s="132"/>
    </row>
    <row r="1805" spans="1:8" s="760" customFormat="1" outlineLevel="3">
      <c r="A1805" s="757"/>
      <c r="B1805" s="761"/>
      <c r="C1805" s="762">
        <v>2211200</v>
      </c>
      <c r="D1805" s="763" t="s">
        <v>53</v>
      </c>
      <c r="E1805" s="764">
        <f>SUM(E1806)</f>
        <v>1500000</v>
      </c>
      <c r="F1805" s="759">
        <f t="shared" ref="F1805:G1820" si="1260">E1805*1.1</f>
        <v>1650000.0000000002</v>
      </c>
      <c r="G1805" s="759">
        <f t="shared" si="1260"/>
        <v>1815000.0000000005</v>
      </c>
      <c r="H1805" s="132"/>
    </row>
    <row r="1806" spans="1:8" s="760" customFormat="1" outlineLevel="3">
      <c r="A1806" s="757"/>
      <c r="B1806" s="761"/>
      <c r="C1806" s="767">
        <v>2211201</v>
      </c>
      <c r="D1806" s="768" t="s">
        <v>475</v>
      </c>
      <c r="E1806" s="769">
        <v>1500000</v>
      </c>
      <c r="F1806" s="759">
        <f t="shared" si="1260"/>
        <v>1650000.0000000002</v>
      </c>
      <c r="G1806" s="759">
        <f t="shared" si="1260"/>
        <v>1815000.0000000005</v>
      </c>
      <c r="H1806" s="132"/>
    </row>
    <row r="1807" spans="1:8" s="760" customFormat="1" outlineLevel="3">
      <c r="A1807" s="757"/>
      <c r="B1807" s="761"/>
      <c r="C1807" s="762">
        <v>2211300</v>
      </c>
      <c r="D1807" s="763" t="s">
        <v>55</v>
      </c>
      <c r="E1807" s="764">
        <f>SUM(E1808:E1809)</f>
        <v>280000</v>
      </c>
      <c r="F1807" s="759">
        <f t="shared" si="1260"/>
        <v>308000</v>
      </c>
      <c r="G1807" s="759">
        <f t="shared" si="1260"/>
        <v>338800</v>
      </c>
      <c r="H1807" s="132"/>
    </row>
    <row r="1808" spans="1:8" s="760" customFormat="1" outlineLevel="3">
      <c r="A1808" s="757"/>
      <c r="B1808" s="761"/>
      <c r="C1808" s="767">
        <v>2211305</v>
      </c>
      <c r="D1808" s="768" t="s">
        <v>451</v>
      </c>
      <c r="E1808" s="769">
        <v>200000</v>
      </c>
      <c r="F1808" s="759">
        <f t="shared" si="1260"/>
        <v>220000.00000000003</v>
      </c>
      <c r="G1808" s="759">
        <f t="shared" si="1260"/>
        <v>242000.00000000006</v>
      </c>
      <c r="H1808" s="132"/>
    </row>
    <row r="1809" spans="1:8" s="760" customFormat="1" ht="30" outlineLevel="3">
      <c r="A1809" s="757"/>
      <c r="B1809" s="761"/>
      <c r="C1809" s="767">
        <v>2211306</v>
      </c>
      <c r="D1809" s="768" t="s">
        <v>57</v>
      </c>
      <c r="E1809" s="769">
        <v>80000</v>
      </c>
      <c r="F1809" s="759">
        <f t="shared" si="1260"/>
        <v>88000</v>
      </c>
      <c r="G1809" s="759">
        <f t="shared" si="1260"/>
        <v>96800.000000000015</v>
      </c>
      <c r="H1809" s="132"/>
    </row>
    <row r="1810" spans="1:8" s="760" customFormat="1" outlineLevel="3">
      <c r="A1810" s="757"/>
      <c r="B1810" s="761"/>
      <c r="C1810" s="762">
        <v>2220200</v>
      </c>
      <c r="D1810" s="763" t="s">
        <v>179</v>
      </c>
      <c r="E1810" s="764">
        <f>SUM(E1811:E1811)</f>
        <v>350000</v>
      </c>
      <c r="F1810" s="759">
        <f t="shared" si="1260"/>
        <v>385000.00000000006</v>
      </c>
      <c r="G1810" s="759">
        <f t="shared" si="1260"/>
        <v>423500.00000000012</v>
      </c>
      <c r="H1810" s="132"/>
    </row>
    <row r="1811" spans="1:8" s="760" customFormat="1" outlineLevel="3">
      <c r="A1811" s="757"/>
      <c r="B1811" s="761"/>
      <c r="C1811" s="767">
        <v>2220210</v>
      </c>
      <c r="D1811" s="768" t="s">
        <v>181</v>
      </c>
      <c r="E1811" s="769">
        <v>350000</v>
      </c>
      <c r="F1811" s="759">
        <f t="shared" si="1260"/>
        <v>385000.00000000006</v>
      </c>
      <c r="G1811" s="759">
        <f t="shared" si="1260"/>
        <v>423500.00000000012</v>
      </c>
      <c r="H1811" s="132"/>
    </row>
    <row r="1812" spans="1:8" s="760" customFormat="1" outlineLevel="3">
      <c r="A1812" s="757"/>
      <c r="B1812" s="761"/>
      <c r="C1812" s="762">
        <v>3111000</v>
      </c>
      <c r="D1812" s="763" t="s">
        <v>65</v>
      </c>
      <c r="E1812" s="764">
        <f>SUM(E1813:E1814)</f>
        <v>650000</v>
      </c>
      <c r="F1812" s="759">
        <f t="shared" si="1260"/>
        <v>715000</v>
      </c>
      <c r="G1812" s="759">
        <f t="shared" si="1260"/>
        <v>786500.00000000012</v>
      </c>
      <c r="H1812" s="132"/>
    </row>
    <row r="1813" spans="1:8" s="760" customFormat="1" outlineLevel="3">
      <c r="A1813" s="757"/>
      <c r="B1813" s="761"/>
      <c r="C1813" s="767">
        <v>3111001</v>
      </c>
      <c r="D1813" s="768" t="s">
        <v>442</v>
      </c>
      <c r="E1813" s="769">
        <v>400000</v>
      </c>
      <c r="F1813" s="759">
        <f t="shared" si="1260"/>
        <v>440000.00000000006</v>
      </c>
      <c r="G1813" s="759">
        <f t="shared" si="1260"/>
        <v>484000.00000000012</v>
      </c>
      <c r="H1813" s="132"/>
    </row>
    <row r="1814" spans="1:8" s="760" customFormat="1" outlineLevel="3">
      <c r="A1814" s="757"/>
      <c r="B1814" s="761"/>
      <c r="C1814" s="767">
        <v>3111002</v>
      </c>
      <c r="D1814" s="768" t="s">
        <v>477</v>
      </c>
      <c r="E1814" s="769">
        <v>250000</v>
      </c>
      <c r="F1814" s="759">
        <f t="shared" si="1260"/>
        <v>275000</v>
      </c>
      <c r="G1814" s="759">
        <f t="shared" si="1260"/>
        <v>302500</v>
      </c>
      <c r="H1814" s="132"/>
    </row>
    <row r="1815" spans="1:8" s="760" customFormat="1" ht="30" outlineLevel="3">
      <c r="A1815" s="757"/>
      <c r="B1815" s="761"/>
      <c r="C1815" s="762">
        <v>3111400</v>
      </c>
      <c r="D1815" s="763" t="s">
        <v>478</v>
      </c>
      <c r="E1815" s="764">
        <f>SUM(E1816:E1816)</f>
        <v>300000</v>
      </c>
      <c r="F1815" s="759">
        <f t="shared" si="1260"/>
        <v>330000</v>
      </c>
      <c r="G1815" s="759">
        <f t="shared" si="1260"/>
        <v>363000.00000000006</v>
      </c>
      <c r="H1815" s="132"/>
    </row>
    <row r="1816" spans="1:8" s="760" customFormat="1" ht="45" outlineLevel="3">
      <c r="A1816" s="757"/>
      <c r="B1816" s="761"/>
      <c r="C1816" s="767">
        <v>3111402</v>
      </c>
      <c r="D1816" s="768" t="s">
        <v>452</v>
      </c>
      <c r="E1816" s="769">
        <v>300000</v>
      </c>
      <c r="F1816" s="759">
        <f t="shared" si="1260"/>
        <v>330000</v>
      </c>
      <c r="G1816" s="759">
        <f t="shared" si="1260"/>
        <v>363000.00000000006</v>
      </c>
      <c r="H1816" s="132"/>
    </row>
    <row r="1817" spans="1:8" s="760" customFormat="1" outlineLevel="2">
      <c r="A1817" s="757"/>
      <c r="B1817" s="761"/>
      <c r="C1817" s="772" t="s">
        <v>1770</v>
      </c>
      <c r="D1817" s="757"/>
      <c r="E1817" s="773">
        <f>SUM(E1815+E1812+E1810+E1807+E1805+E1801+E1799+E1796+E1791+E1787+E1783+E1779)</f>
        <v>7240000</v>
      </c>
      <c r="F1817" s="759">
        <f t="shared" si="1260"/>
        <v>7964000.0000000009</v>
      </c>
      <c r="G1817" s="759">
        <f t="shared" si="1260"/>
        <v>8760400.0000000019</v>
      </c>
      <c r="H1817" s="132"/>
    </row>
    <row r="1818" spans="1:8" s="760" customFormat="1" outlineLevel="2">
      <c r="A1818" s="757"/>
      <c r="B1818" s="761"/>
      <c r="C1818" s="772"/>
      <c r="D1818" s="757"/>
      <c r="E1818" s="758"/>
      <c r="F1818" s="759">
        <f t="shared" si="1260"/>
        <v>0</v>
      </c>
      <c r="G1818" s="759">
        <f t="shared" si="1260"/>
        <v>0</v>
      </c>
      <c r="H1818" s="132"/>
    </row>
    <row r="1819" spans="1:8" s="760" customFormat="1" outlineLevel="2">
      <c r="A1819" s="757"/>
      <c r="B1819" s="761"/>
      <c r="C1819" s="772"/>
      <c r="D1819" s="757"/>
      <c r="E1819" s="758"/>
      <c r="F1819" s="759">
        <f t="shared" si="1260"/>
        <v>0</v>
      </c>
      <c r="G1819" s="759">
        <f t="shared" si="1260"/>
        <v>0</v>
      </c>
      <c r="H1819" s="132"/>
    </row>
    <row r="1820" spans="1:8" s="760" customFormat="1" outlineLevel="2">
      <c r="A1820" s="757"/>
      <c r="B1820" s="757"/>
      <c r="C1820" s="801" t="s">
        <v>479</v>
      </c>
      <c r="D1820" s="801"/>
      <c r="E1820" s="758"/>
      <c r="F1820" s="759">
        <f t="shared" si="1260"/>
        <v>0</v>
      </c>
      <c r="G1820" s="759">
        <f t="shared" si="1260"/>
        <v>0</v>
      </c>
      <c r="H1820" s="132"/>
    </row>
    <row r="1821" spans="1:8" s="760" customFormat="1" outlineLevel="2">
      <c r="A1821" s="757"/>
      <c r="B1821" s="757"/>
      <c r="C1821" s="801" t="s">
        <v>480</v>
      </c>
      <c r="D1821" s="801"/>
      <c r="E1821" s="801"/>
      <c r="F1821" s="759">
        <f t="shared" ref="F1821:G1836" si="1261">E1821*1.1</f>
        <v>0</v>
      </c>
      <c r="G1821" s="759">
        <f t="shared" si="1261"/>
        <v>0</v>
      </c>
      <c r="H1821" s="132"/>
    </row>
    <row r="1822" spans="1:8" s="760" customFormat="1" outlineLevel="2">
      <c r="A1822" s="757"/>
      <c r="B1822" s="757"/>
      <c r="C1822" s="772" t="s">
        <v>184</v>
      </c>
      <c r="D1822" s="757"/>
      <c r="E1822" s="758"/>
      <c r="F1822" s="759">
        <f t="shared" si="1261"/>
        <v>0</v>
      </c>
      <c r="G1822" s="759">
        <f t="shared" si="1261"/>
        <v>0</v>
      </c>
      <c r="H1822" s="132"/>
    </row>
    <row r="1823" spans="1:8" s="127" customFormat="1" ht="30" outlineLevel="3">
      <c r="A1823" s="766"/>
      <c r="B1823" s="766"/>
      <c r="C1823" s="775">
        <v>2220100</v>
      </c>
      <c r="D1823" s="763" t="s">
        <v>61</v>
      </c>
      <c r="E1823" s="781">
        <f>E1824+E1825</f>
        <v>12000000</v>
      </c>
      <c r="F1823" s="759">
        <f t="shared" si="1261"/>
        <v>13200000.000000002</v>
      </c>
      <c r="G1823" s="759">
        <f t="shared" si="1261"/>
        <v>14520000.000000004</v>
      </c>
      <c r="H1823" s="132"/>
    </row>
    <row r="1824" spans="1:8" s="127" customFormat="1" outlineLevel="3">
      <c r="A1824" s="766"/>
      <c r="B1824" s="766"/>
      <c r="C1824" s="777">
        <v>2220105</v>
      </c>
      <c r="D1824" s="768" t="s">
        <v>476</v>
      </c>
      <c r="E1824" s="771">
        <v>10000000</v>
      </c>
      <c r="F1824" s="759">
        <f t="shared" si="1261"/>
        <v>11000000</v>
      </c>
      <c r="G1824" s="759">
        <f t="shared" si="1261"/>
        <v>12100000.000000002</v>
      </c>
      <c r="H1824" s="132"/>
    </row>
    <row r="1825" spans="1:8" s="127" customFormat="1" outlineLevel="3">
      <c r="A1825" s="766"/>
      <c r="B1825" s="766"/>
      <c r="C1825" s="777">
        <v>3110202</v>
      </c>
      <c r="D1825" s="768" t="s">
        <v>481</v>
      </c>
      <c r="E1825" s="771">
        <v>2000000</v>
      </c>
      <c r="F1825" s="759">
        <f t="shared" si="1261"/>
        <v>2200000</v>
      </c>
      <c r="G1825" s="759">
        <f t="shared" si="1261"/>
        <v>2420000</v>
      </c>
      <c r="H1825" s="132"/>
    </row>
    <row r="1826" spans="1:8" s="127" customFormat="1" outlineLevel="3">
      <c r="A1826" s="766"/>
      <c r="B1826" s="766"/>
      <c r="C1826" s="775">
        <v>3110400</v>
      </c>
      <c r="D1826" s="763" t="s">
        <v>467</v>
      </c>
      <c r="E1826" s="776">
        <f>E1827</f>
        <v>22400000</v>
      </c>
      <c r="F1826" s="759">
        <f t="shared" si="1261"/>
        <v>24640000.000000004</v>
      </c>
      <c r="G1826" s="759">
        <f t="shared" si="1261"/>
        <v>27104000.000000007</v>
      </c>
      <c r="H1826" s="132"/>
    </row>
    <row r="1827" spans="1:8" s="127" customFormat="1" ht="30" outlineLevel="3">
      <c r="A1827" s="766"/>
      <c r="B1827" s="766"/>
      <c r="C1827" s="777">
        <v>3110402</v>
      </c>
      <c r="D1827" s="768" t="s">
        <v>1771</v>
      </c>
      <c r="E1827" s="778">
        <v>22400000</v>
      </c>
      <c r="F1827" s="759">
        <f t="shared" si="1261"/>
        <v>24640000.000000004</v>
      </c>
      <c r="G1827" s="759">
        <f t="shared" si="1261"/>
        <v>27104000.000000007</v>
      </c>
      <c r="H1827" s="132"/>
    </row>
    <row r="1828" spans="1:8" s="765" customFormat="1" outlineLevel="3">
      <c r="A1828" s="745"/>
      <c r="B1828" s="745"/>
      <c r="C1828" s="775">
        <v>3110500</v>
      </c>
      <c r="D1828" s="763" t="s">
        <v>305</v>
      </c>
      <c r="E1828" s="764">
        <f>E1829</f>
        <v>5000000</v>
      </c>
      <c r="F1828" s="759">
        <f t="shared" si="1261"/>
        <v>5500000</v>
      </c>
      <c r="G1828" s="759">
        <f t="shared" si="1261"/>
        <v>6050000.0000000009</v>
      </c>
      <c r="H1828" s="132"/>
    </row>
    <row r="1829" spans="1:8" s="127" customFormat="1" ht="30" outlineLevel="3">
      <c r="A1829" s="766"/>
      <c r="B1829" s="766"/>
      <c r="C1829" s="777">
        <v>3110599</v>
      </c>
      <c r="D1829" s="768" t="s">
        <v>482</v>
      </c>
      <c r="E1829" s="769">
        <v>5000000</v>
      </c>
      <c r="F1829" s="759">
        <f t="shared" si="1261"/>
        <v>5500000</v>
      </c>
      <c r="G1829" s="759">
        <f t="shared" si="1261"/>
        <v>6050000.0000000009</v>
      </c>
      <c r="H1829" s="132"/>
    </row>
    <row r="1830" spans="1:8" s="127" customFormat="1" outlineLevel="3">
      <c r="A1830" s="766"/>
      <c r="B1830" s="766"/>
      <c r="C1830" s="775">
        <v>3111100</v>
      </c>
      <c r="D1830" s="763" t="s">
        <v>669</v>
      </c>
      <c r="E1830" s="764">
        <f>E1831</f>
        <v>10000000</v>
      </c>
      <c r="F1830" s="759">
        <f t="shared" si="1261"/>
        <v>11000000</v>
      </c>
      <c r="G1830" s="759">
        <f t="shared" si="1261"/>
        <v>12100000.000000002</v>
      </c>
      <c r="H1830" s="132"/>
    </row>
    <row r="1831" spans="1:8" s="127" customFormat="1" ht="30" outlineLevel="3">
      <c r="A1831" s="766"/>
      <c r="B1831" s="766"/>
      <c r="C1831" s="777">
        <v>3111120</v>
      </c>
      <c r="D1831" s="768" t="s">
        <v>483</v>
      </c>
      <c r="E1831" s="769">
        <v>10000000</v>
      </c>
      <c r="F1831" s="759">
        <f t="shared" si="1261"/>
        <v>11000000</v>
      </c>
      <c r="G1831" s="759">
        <f t="shared" si="1261"/>
        <v>12100000.000000002</v>
      </c>
      <c r="H1831" s="132"/>
    </row>
    <row r="1832" spans="1:8" s="127" customFormat="1" outlineLevel="2">
      <c r="A1832" s="766"/>
      <c r="B1832" s="766"/>
      <c r="C1832" s="777"/>
      <c r="D1832" s="757" t="s">
        <v>1772</v>
      </c>
      <c r="E1832" s="773">
        <f>E1830+E1828+E1826+E1823</f>
        <v>49400000</v>
      </c>
      <c r="F1832" s="759">
        <f t="shared" si="1261"/>
        <v>54340000.000000007</v>
      </c>
      <c r="G1832" s="759">
        <f t="shared" si="1261"/>
        <v>59774000.000000015</v>
      </c>
      <c r="H1832" s="132"/>
    </row>
    <row r="1833" spans="1:8" s="760" customFormat="1" outlineLevel="1">
      <c r="A1833" s="757"/>
      <c r="B1833" s="757"/>
      <c r="C1833" s="782"/>
      <c r="D1833" s="757" t="s">
        <v>1773</v>
      </c>
      <c r="E1833" s="773">
        <f>E1832+E1817</f>
        <v>56640000</v>
      </c>
      <c r="F1833" s="759">
        <f t="shared" si="1261"/>
        <v>62304000.000000007</v>
      </c>
      <c r="G1833" s="759">
        <f t="shared" si="1261"/>
        <v>68534400.000000015</v>
      </c>
      <c r="H1833" s="132"/>
    </row>
    <row r="1834" spans="1:8" s="760" customFormat="1" outlineLevel="1">
      <c r="A1834" s="757"/>
      <c r="B1834" s="757"/>
      <c r="C1834" s="782"/>
      <c r="D1834" s="757"/>
      <c r="E1834" s="773"/>
      <c r="F1834" s="759">
        <f t="shared" si="1261"/>
        <v>0</v>
      </c>
      <c r="G1834" s="759">
        <f t="shared" si="1261"/>
        <v>0</v>
      </c>
      <c r="H1834" s="132"/>
    </row>
    <row r="1835" spans="1:8" s="760" customFormat="1" outlineLevel="1">
      <c r="A1835" s="757"/>
      <c r="B1835" s="757"/>
      <c r="C1835" s="772" t="s">
        <v>361</v>
      </c>
      <c r="D1835" s="801" t="s">
        <v>474</v>
      </c>
      <c r="E1835" s="801"/>
      <c r="F1835" s="759">
        <f t="shared" si="1261"/>
        <v>0</v>
      </c>
      <c r="G1835" s="759">
        <f t="shared" si="1261"/>
        <v>0</v>
      </c>
      <c r="H1835" s="132"/>
    </row>
    <row r="1836" spans="1:8" s="760" customFormat="1" outlineLevel="1">
      <c r="A1836" s="757"/>
      <c r="B1836" s="757"/>
      <c r="C1836" s="772"/>
      <c r="D1836" s="801" t="s">
        <v>1774</v>
      </c>
      <c r="E1836" s="801"/>
      <c r="F1836" s="759">
        <f t="shared" si="1261"/>
        <v>0</v>
      </c>
      <c r="G1836" s="759">
        <f t="shared" si="1261"/>
        <v>0</v>
      </c>
      <c r="H1836" s="132"/>
    </row>
    <row r="1837" spans="1:8" s="760" customFormat="1" outlineLevel="1">
      <c r="A1837" s="757"/>
      <c r="B1837" s="757"/>
      <c r="C1837" s="761"/>
      <c r="D1837" s="757" t="s">
        <v>228</v>
      </c>
      <c r="E1837" s="757"/>
      <c r="F1837" s="759">
        <f t="shared" ref="F1837:G1852" si="1262">E1837*1.1</f>
        <v>0</v>
      </c>
      <c r="G1837" s="759">
        <f t="shared" si="1262"/>
        <v>0</v>
      </c>
      <c r="H1837" s="132"/>
    </row>
    <row r="1838" spans="1:8" s="760" customFormat="1" outlineLevel="3">
      <c r="A1838" s="757"/>
      <c r="B1838" s="757"/>
      <c r="C1838" s="762">
        <v>2210200</v>
      </c>
      <c r="D1838" s="763" t="s">
        <v>19</v>
      </c>
      <c r="E1838" s="764">
        <f>SUM(E1839:E1841)</f>
        <v>260000</v>
      </c>
      <c r="F1838" s="759">
        <f t="shared" si="1262"/>
        <v>286000</v>
      </c>
      <c r="G1838" s="759">
        <f t="shared" si="1262"/>
        <v>314600</v>
      </c>
      <c r="H1838" s="132"/>
    </row>
    <row r="1839" spans="1:8" s="760" customFormat="1" outlineLevel="3">
      <c r="A1839" s="757"/>
      <c r="B1839" s="757"/>
      <c r="C1839" s="767">
        <v>2210201</v>
      </c>
      <c r="D1839" s="768" t="s">
        <v>20</v>
      </c>
      <c r="E1839" s="769">
        <v>200000</v>
      </c>
      <c r="F1839" s="759">
        <f t="shared" si="1262"/>
        <v>220000.00000000003</v>
      </c>
      <c r="G1839" s="759">
        <f t="shared" si="1262"/>
        <v>242000.00000000006</v>
      </c>
      <c r="H1839" s="132"/>
    </row>
    <row r="1840" spans="1:8" s="760" customFormat="1" outlineLevel="3">
      <c r="A1840" s="757"/>
      <c r="B1840" s="757"/>
      <c r="C1840" s="767">
        <v>2210202</v>
      </c>
      <c r="D1840" s="768" t="s">
        <v>439</v>
      </c>
      <c r="E1840" s="769">
        <v>50000</v>
      </c>
      <c r="F1840" s="759">
        <f t="shared" si="1262"/>
        <v>55000.000000000007</v>
      </c>
      <c r="G1840" s="759">
        <f t="shared" si="1262"/>
        <v>60500.000000000015</v>
      </c>
      <c r="H1840" s="132"/>
    </row>
    <row r="1841" spans="1:8" s="760" customFormat="1" outlineLevel="3">
      <c r="A1841" s="757"/>
      <c r="B1841" s="757"/>
      <c r="C1841" s="767">
        <v>2210203</v>
      </c>
      <c r="D1841" s="768" t="s">
        <v>22</v>
      </c>
      <c r="E1841" s="769">
        <v>10000</v>
      </c>
      <c r="F1841" s="759">
        <f t="shared" si="1262"/>
        <v>11000</v>
      </c>
      <c r="G1841" s="759">
        <f t="shared" si="1262"/>
        <v>12100.000000000002</v>
      </c>
      <c r="H1841" s="132"/>
    </row>
    <row r="1842" spans="1:8" s="760" customFormat="1" ht="30" outlineLevel="3">
      <c r="A1842" s="757"/>
      <c r="B1842" s="757"/>
      <c r="C1842" s="762">
        <v>2210300</v>
      </c>
      <c r="D1842" s="763" t="s">
        <v>23</v>
      </c>
      <c r="E1842" s="764">
        <f>SUM(E1843:E1845)</f>
        <v>750000</v>
      </c>
      <c r="F1842" s="759">
        <f t="shared" si="1262"/>
        <v>825000.00000000012</v>
      </c>
      <c r="G1842" s="759">
        <f t="shared" si="1262"/>
        <v>907500.00000000023</v>
      </c>
      <c r="H1842" s="132"/>
    </row>
    <row r="1843" spans="1:8" s="760" customFormat="1" outlineLevel="3">
      <c r="A1843" s="757"/>
      <c r="B1843" s="757"/>
      <c r="C1843" s="767">
        <v>2210301</v>
      </c>
      <c r="D1843" s="768" t="s">
        <v>24</v>
      </c>
      <c r="E1843" s="769">
        <v>250000</v>
      </c>
      <c r="F1843" s="759">
        <f t="shared" si="1262"/>
        <v>275000</v>
      </c>
      <c r="G1843" s="759">
        <f t="shared" si="1262"/>
        <v>302500</v>
      </c>
      <c r="H1843" s="132"/>
    </row>
    <row r="1844" spans="1:8" s="760" customFormat="1" outlineLevel="3">
      <c r="A1844" s="757"/>
      <c r="B1844" s="757"/>
      <c r="C1844" s="767">
        <v>2210302</v>
      </c>
      <c r="D1844" s="768" t="s">
        <v>25</v>
      </c>
      <c r="E1844" s="769">
        <v>250000</v>
      </c>
      <c r="F1844" s="759">
        <f t="shared" si="1262"/>
        <v>275000</v>
      </c>
      <c r="G1844" s="759">
        <f t="shared" si="1262"/>
        <v>302500</v>
      </c>
      <c r="H1844" s="132"/>
    </row>
    <row r="1845" spans="1:8" s="760" customFormat="1" outlineLevel="3">
      <c r="A1845" s="757"/>
      <c r="B1845" s="757"/>
      <c r="C1845" s="767">
        <v>2210303</v>
      </c>
      <c r="D1845" s="768" t="s">
        <v>26</v>
      </c>
      <c r="E1845" s="769">
        <v>250000</v>
      </c>
      <c r="F1845" s="759">
        <f t="shared" si="1262"/>
        <v>275000</v>
      </c>
      <c r="G1845" s="759">
        <f t="shared" si="1262"/>
        <v>302500</v>
      </c>
      <c r="H1845" s="132"/>
    </row>
    <row r="1846" spans="1:8" s="760" customFormat="1" outlineLevel="3">
      <c r="A1846" s="757"/>
      <c r="B1846" s="757"/>
      <c r="C1846" s="762">
        <v>2210500</v>
      </c>
      <c r="D1846" s="763" t="s">
        <v>30</v>
      </c>
      <c r="E1846" s="764">
        <f>SUM(E1847:E1849)</f>
        <v>550000</v>
      </c>
      <c r="F1846" s="759">
        <f t="shared" si="1262"/>
        <v>605000</v>
      </c>
      <c r="G1846" s="759">
        <f t="shared" si="1262"/>
        <v>665500</v>
      </c>
      <c r="H1846" s="132"/>
    </row>
    <row r="1847" spans="1:8" s="760" customFormat="1" outlineLevel="3">
      <c r="A1847" s="757"/>
      <c r="B1847" s="757"/>
      <c r="C1847" s="767">
        <v>2210502</v>
      </c>
      <c r="D1847" s="768" t="s">
        <v>162</v>
      </c>
      <c r="E1847" s="769">
        <v>100000</v>
      </c>
      <c r="F1847" s="759">
        <f t="shared" si="1262"/>
        <v>110000.00000000001</v>
      </c>
      <c r="G1847" s="759">
        <f t="shared" si="1262"/>
        <v>121000.00000000003</v>
      </c>
      <c r="H1847" s="132"/>
    </row>
    <row r="1848" spans="1:8" s="760" customFormat="1" outlineLevel="3">
      <c r="A1848" s="757"/>
      <c r="B1848" s="757"/>
      <c r="C1848" s="767">
        <v>2210503</v>
      </c>
      <c r="D1848" s="768" t="s">
        <v>31</v>
      </c>
      <c r="E1848" s="769">
        <v>50000</v>
      </c>
      <c r="F1848" s="759">
        <f t="shared" si="1262"/>
        <v>55000.000000000007</v>
      </c>
      <c r="G1848" s="759">
        <f t="shared" si="1262"/>
        <v>60500.000000000015</v>
      </c>
      <c r="H1848" s="132"/>
    </row>
    <row r="1849" spans="1:8" s="760" customFormat="1" outlineLevel="3">
      <c r="A1849" s="757"/>
      <c r="B1849" s="757"/>
      <c r="C1849" s="767">
        <v>2210504</v>
      </c>
      <c r="D1849" s="768" t="s">
        <v>32</v>
      </c>
      <c r="E1849" s="769">
        <v>400000</v>
      </c>
      <c r="F1849" s="759">
        <f t="shared" si="1262"/>
        <v>440000.00000000006</v>
      </c>
      <c r="G1849" s="759">
        <f t="shared" si="1262"/>
        <v>484000.00000000012</v>
      </c>
      <c r="H1849" s="132"/>
    </row>
    <row r="1850" spans="1:8" s="760" customFormat="1" outlineLevel="3">
      <c r="A1850" s="757"/>
      <c r="B1850" s="757"/>
      <c r="C1850" s="762">
        <v>2210700</v>
      </c>
      <c r="D1850" s="763" t="s">
        <v>34</v>
      </c>
      <c r="E1850" s="764">
        <f>SUM(E1851:E1854)</f>
        <v>750000</v>
      </c>
      <c r="F1850" s="759">
        <f t="shared" si="1262"/>
        <v>825000.00000000012</v>
      </c>
      <c r="G1850" s="759">
        <f t="shared" si="1262"/>
        <v>907500.00000000023</v>
      </c>
      <c r="H1850" s="132"/>
    </row>
    <row r="1851" spans="1:8" s="760" customFormat="1" outlineLevel="3">
      <c r="A1851" s="757"/>
      <c r="B1851" s="757"/>
      <c r="C1851" s="767">
        <v>2210701</v>
      </c>
      <c r="D1851" s="768" t="s">
        <v>210</v>
      </c>
      <c r="E1851" s="769">
        <v>100000</v>
      </c>
      <c r="F1851" s="759">
        <f t="shared" si="1262"/>
        <v>110000.00000000001</v>
      </c>
      <c r="G1851" s="759">
        <f t="shared" si="1262"/>
        <v>121000.00000000003</v>
      </c>
      <c r="H1851" s="132"/>
    </row>
    <row r="1852" spans="1:8" s="760" customFormat="1" outlineLevel="3">
      <c r="A1852" s="757"/>
      <c r="B1852" s="757"/>
      <c r="C1852" s="767">
        <v>2210704</v>
      </c>
      <c r="D1852" s="768" t="s">
        <v>37</v>
      </c>
      <c r="E1852" s="769">
        <v>100000</v>
      </c>
      <c r="F1852" s="759">
        <f t="shared" si="1262"/>
        <v>110000.00000000001</v>
      </c>
      <c r="G1852" s="759">
        <f t="shared" si="1262"/>
        <v>121000.00000000003</v>
      </c>
      <c r="H1852" s="132"/>
    </row>
    <row r="1853" spans="1:8" s="760" customFormat="1" outlineLevel="3">
      <c r="A1853" s="757"/>
      <c r="B1853" s="757"/>
      <c r="C1853" s="767">
        <v>2210710</v>
      </c>
      <c r="D1853" s="768" t="s">
        <v>449</v>
      </c>
      <c r="E1853" s="769">
        <v>200000</v>
      </c>
      <c r="F1853" s="759">
        <f t="shared" ref="F1853:G1868" si="1263">E1853*1.1</f>
        <v>220000.00000000003</v>
      </c>
      <c r="G1853" s="759">
        <f t="shared" si="1263"/>
        <v>242000.00000000006</v>
      </c>
      <c r="H1853" s="132"/>
    </row>
    <row r="1854" spans="1:8" s="760" customFormat="1" outlineLevel="3">
      <c r="A1854" s="757"/>
      <c r="B1854" s="757"/>
      <c r="C1854" s="767">
        <v>2210715</v>
      </c>
      <c r="D1854" s="768" t="s">
        <v>464</v>
      </c>
      <c r="E1854" s="769">
        <v>350000</v>
      </c>
      <c r="F1854" s="759">
        <f t="shared" si="1263"/>
        <v>385000.00000000006</v>
      </c>
      <c r="G1854" s="759">
        <f t="shared" si="1263"/>
        <v>423500.00000000012</v>
      </c>
      <c r="H1854" s="132"/>
    </row>
    <row r="1855" spans="1:8" s="760" customFormat="1" outlineLevel="3">
      <c r="A1855" s="757"/>
      <c r="B1855" s="757"/>
      <c r="C1855" s="762">
        <v>2210800</v>
      </c>
      <c r="D1855" s="763" t="s">
        <v>41</v>
      </c>
      <c r="E1855" s="764">
        <f>SUM(E1856:E1857)</f>
        <v>400000</v>
      </c>
      <c r="F1855" s="759">
        <f t="shared" si="1263"/>
        <v>440000.00000000006</v>
      </c>
      <c r="G1855" s="759">
        <f t="shared" si="1263"/>
        <v>484000.00000000012</v>
      </c>
      <c r="H1855" s="132"/>
    </row>
    <row r="1856" spans="1:8" s="760" customFormat="1" ht="30" outlineLevel="3">
      <c r="A1856" s="757"/>
      <c r="B1856" s="757"/>
      <c r="C1856" s="767">
        <v>2210801</v>
      </c>
      <c r="D1856" s="768" t="s">
        <v>1775</v>
      </c>
      <c r="E1856" s="769">
        <v>300000</v>
      </c>
      <c r="F1856" s="759">
        <f t="shared" si="1263"/>
        <v>330000</v>
      </c>
      <c r="G1856" s="759">
        <f t="shared" si="1263"/>
        <v>363000.00000000006</v>
      </c>
      <c r="H1856" s="132"/>
    </row>
    <row r="1857" spans="1:8" s="760" customFormat="1" outlineLevel="3">
      <c r="A1857" s="757"/>
      <c r="B1857" s="757"/>
      <c r="C1857" s="767">
        <v>2210802</v>
      </c>
      <c r="D1857" s="768" t="s">
        <v>86</v>
      </c>
      <c r="E1857" s="769">
        <v>100000</v>
      </c>
      <c r="F1857" s="759">
        <f t="shared" si="1263"/>
        <v>110000.00000000001</v>
      </c>
      <c r="G1857" s="759">
        <f t="shared" si="1263"/>
        <v>121000.00000000003</v>
      </c>
      <c r="H1857" s="132"/>
    </row>
    <row r="1858" spans="1:8" s="760" customFormat="1" outlineLevel="3">
      <c r="A1858" s="757"/>
      <c r="B1858" s="757"/>
      <c r="C1858" s="762">
        <v>2211000</v>
      </c>
      <c r="D1858" s="763" t="s">
        <v>173</v>
      </c>
      <c r="E1858" s="764">
        <f>SUM(E1859:E1859)</f>
        <v>200000</v>
      </c>
      <c r="F1858" s="759">
        <f t="shared" si="1263"/>
        <v>220000.00000000003</v>
      </c>
      <c r="G1858" s="759">
        <f t="shared" si="1263"/>
        <v>242000.00000000006</v>
      </c>
      <c r="H1858" s="132"/>
    </row>
    <row r="1859" spans="1:8" s="760" customFormat="1" outlineLevel="3">
      <c r="A1859" s="757"/>
      <c r="B1859" s="757"/>
      <c r="C1859" s="767">
        <v>2211016</v>
      </c>
      <c r="D1859" s="768" t="s">
        <v>219</v>
      </c>
      <c r="E1859" s="769">
        <v>200000</v>
      </c>
      <c r="F1859" s="759">
        <f t="shared" si="1263"/>
        <v>220000.00000000003</v>
      </c>
      <c r="G1859" s="759">
        <f t="shared" si="1263"/>
        <v>242000.00000000006</v>
      </c>
      <c r="H1859" s="132"/>
    </row>
    <row r="1860" spans="1:8" s="760" customFormat="1" outlineLevel="3">
      <c r="A1860" s="757"/>
      <c r="B1860" s="757"/>
      <c r="C1860" s="762">
        <v>2211100</v>
      </c>
      <c r="D1860" s="763" t="s">
        <v>49</v>
      </c>
      <c r="E1860" s="764">
        <f>SUM(E1861:E1863)</f>
        <v>300000</v>
      </c>
      <c r="F1860" s="759">
        <f t="shared" si="1263"/>
        <v>330000</v>
      </c>
      <c r="G1860" s="759">
        <f t="shared" si="1263"/>
        <v>363000.00000000006</v>
      </c>
      <c r="H1860" s="132"/>
    </row>
    <row r="1861" spans="1:8" s="760" customFormat="1" ht="30" outlineLevel="3">
      <c r="A1861" s="757"/>
      <c r="B1861" s="757"/>
      <c r="C1861" s="767">
        <v>2211101</v>
      </c>
      <c r="D1861" s="768" t="s">
        <v>87</v>
      </c>
      <c r="E1861" s="769">
        <v>100000</v>
      </c>
      <c r="F1861" s="759">
        <f t="shared" si="1263"/>
        <v>110000.00000000001</v>
      </c>
      <c r="G1861" s="759">
        <f t="shared" si="1263"/>
        <v>121000.00000000003</v>
      </c>
      <c r="H1861" s="132"/>
    </row>
    <row r="1862" spans="1:8" s="760" customFormat="1" outlineLevel="3">
      <c r="A1862" s="757"/>
      <c r="B1862" s="757"/>
      <c r="C1862" s="767">
        <v>2211102</v>
      </c>
      <c r="D1862" s="768" t="s">
        <v>51</v>
      </c>
      <c r="E1862" s="769">
        <v>100000</v>
      </c>
      <c r="F1862" s="759">
        <f t="shared" si="1263"/>
        <v>110000.00000000001</v>
      </c>
      <c r="G1862" s="759">
        <f t="shared" si="1263"/>
        <v>121000.00000000003</v>
      </c>
      <c r="H1862" s="132"/>
    </row>
    <row r="1863" spans="1:8" s="760" customFormat="1" outlineLevel="3">
      <c r="A1863" s="757"/>
      <c r="B1863" s="757"/>
      <c r="C1863" s="767">
        <v>2211103</v>
      </c>
      <c r="D1863" s="768" t="s">
        <v>52</v>
      </c>
      <c r="E1863" s="769">
        <v>100000</v>
      </c>
      <c r="F1863" s="759">
        <f t="shared" si="1263"/>
        <v>110000.00000000001</v>
      </c>
      <c r="G1863" s="759">
        <f t="shared" si="1263"/>
        <v>121000.00000000003</v>
      </c>
      <c r="H1863" s="132"/>
    </row>
    <row r="1864" spans="1:8" s="760" customFormat="1" outlineLevel="3">
      <c r="A1864" s="757"/>
      <c r="B1864" s="757"/>
      <c r="C1864" s="762">
        <v>2211300</v>
      </c>
      <c r="D1864" s="763" t="s">
        <v>55</v>
      </c>
      <c r="E1864" s="764">
        <f>SUM(E1865:E1866)</f>
        <v>263217</v>
      </c>
      <c r="F1864" s="759">
        <f t="shared" si="1263"/>
        <v>289538.7</v>
      </c>
      <c r="G1864" s="759">
        <f t="shared" si="1263"/>
        <v>318492.57000000007</v>
      </c>
      <c r="H1864" s="132"/>
    </row>
    <row r="1865" spans="1:8" s="760" customFormat="1" outlineLevel="3">
      <c r="A1865" s="757"/>
      <c r="B1865" s="757"/>
      <c r="C1865" s="767">
        <v>2211305</v>
      </c>
      <c r="D1865" s="768" t="s">
        <v>451</v>
      </c>
      <c r="E1865" s="769">
        <v>200000</v>
      </c>
      <c r="F1865" s="759">
        <f t="shared" si="1263"/>
        <v>220000.00000000003</v>
      </c>
      <c r="G1865" s="759">
        <f t="shared" si="1263"/>
        <v>242000.00000000006</v>
      </c>
      <c r="H1865" s="132"/>
    </row>
    <row r="1866" spans="1:8" s="760" customFormat="1" ht="30" outlineLevel="3">
      <c r="A1866" s="757"/>
      <c r="B1866" s="757"/>
      <c r="C1866" s="767">
        <v>2211306</v>
      </c>
      <c r="D1866" s="768" t="s">
        <v>57</v>
      </c>
      <c r="E1866" s="769">
        <v>63217</v>
      </c>
      <c r="F1866" s="759">
        <f t="shared" si="1263"/>
        <v>69538.700000000012</v>
      </c>
      <c r="G1866" s="759">
        <f t="shared" si="1263"/>
        <v>76492.570000000022</v>
      </c>
      <c r="H1866" s="132"/>
    </row>
    <row r="1867" spans="1:8" s="760" customFormat="1" outlineLevel="3">
      <c r="A1867" s="757"/>
      <c r="B1867" s="757"/>
      <c r="C1867" s="762">
        <v>3111000</v>
      </c>
      <c r="D1867" s="763" t="s">
        <v>65</v>
      </c>
      <c r="E1867" s="764">
        <f>E1868+E1869</f>
        <v>600000</v>
      </c>
      <c r="F1867" s="759">
        <f t="shared" si="1263"/>
        <v>660000</v>
      </c>
      <c r="G1867" s="759">
        <f t="shared" si="1263"/>
        <v>726000.00000000012</v>
      </c>
      <c r="H1867" s="132"/>
    </row>
    <row r="1868" spans="1:8" s="760" customFormat="1" outlineLevel="3">
      <c r="A1868" s="757"/>
      <c r="B1868" s="757"/>
      <c r="C1868" s="767">
        <v>3111001</v>
      </c>
      <c r="D1868" s="768" t="s">
        <v>442</v>
      </c>
      <c r="E1868" s="769">
        <v>300000</v>
      </c>
      <c r="F1868" s="759">
        <f t="shared" si="1263"/>
        <v>330000</v>
      </c>
      <c r="G1868" s="759">
        <f t="shared" si="1263"/>
        <v>363000.00000000006</v>
      </c>
      <c r="H1868" s="132"/>
    </row>
    <row r="1869" spans="1:8" s="760" customFormat="1" outlineLevel="3">
      <c r="A1869" s="757"/>
      <c r="B1869" s="757"/>
      <c r="C1869" s="767">
        <v>3111002</v>
      </c>
      <c r="D1869" s="768" t="s">
        <v>443</v>
      </c>
      <c r="E1869" s="769">
        <v>300000</v>
      </c>
      <c r="F1869" s="759">
        <f t="shared" ref="F1869:G1882" si="1264">E1869*1.1</f>
        <v>330000</v>
      </c>
      <c r="G1869" s="759">
        <f t="shared" si="1264"/>
        <v>363000.00000000006</v>
      </c>
      <c r="H1869" s="132"/>
    </row>
    <row r="1870" spans="1:8" s="760" customFormat="1" outlineLevel="2">
      <c r="A1870" s="757"/>
      <c r="B1870" s="757"/>
      <c r="C1870" s="772"/>
      <c r="D1870" s="757" t="s">
        <v>1776</v>
      </c>
      <c r="E1870" s="773">
        <f>SUM(E1867+E1864+E1860+E1858+E1855+E1850+E1846+E1842+E1838)</f>
        <v>4073217</v>
      </c>
      <c r="F1870" s="759">
        <f t="shared" si="1264"/>
        <v>4480538.7</v>
      </c>
      <c r="G1870" s="759">
        <f t="shared" si="1264"/>
        <v>4928592.57</v>
      </c>
      <c r="H1870" s="132"/>
    </row>
    <row r="1871" spans="1:8" s="760" customFormat="1" outlineLevel="2">
      <c r="A1871" s="757"/>
      <c r="B1871" s="757"/>
      <c r="C1871" s="782"/>
      <c r="D1871" s="757"/>
      <c r="E1871" s="773"/>
      <c r="F1871" s="759">
        <f t="shared" si="1264"/>
        <v>0</v>
      </c>
      <c r="G1871" s="759">
        <f t="shared" si="1264"/>
        <v>0</v>
      </c>
      <c r="H1871" s="132"/>
    </row>
    <row r="1872" spans="1:8" s="760" customFormat="1" outlineLevel="2">
      <c r="A1872" s="757"/>
      <c r="B1872" s="757"/>
      <c r="C1872" s="801" t="s">
        <v>484</v>
      </c>
      <c r="D1872" s="801"/>
      <c r="E1872" s="758"/>
      <c r="F1872" s="759">
        <f t="shared" si="1264"/>
        <v>0</v>
      </c>
      <c r="G1872" s="759">
        <f t="shared" si="1264"/>
        <v>0</v>
      </c>
      <c r="H1872" s="132"/>
    </row>
    <row r="1873" spans="1:8" s="760" customFormat="1" outlineLevel="2">
      <c r="A1873" s="757"/>
      <c r="B1873" s="757"/>
      <c r="C1873" s="772" t="s">
        <v>184</v>
      </c>
      <c r="D1873" s="757"/>
      <c r="E1873" s="758"/>
      <c r="F1873" s="759">
        <f t="shared" si="1264"/>
        <v>0</v>
      </c>
      <c r="G1873" s="759">
        <f t="shared" si="1264"/>
        <v>0</v>
      </c>
      <c r="H1873" s="132"/>
    </row>
    <row r="1874" spans="1:8" s="765" customFormat="1" outlineLevel="3">
      <c r="A1874" s="745"/>
      <c r="B1874" s="745"/>
      <c r="C1874" s="762">
        <v>3110500</v>
      </c>
      <c r="D1874" s="763" t="s">
        <v>305</v>
      </c>
      <c r="E1874" s="781">
        <f>E1875</f>
        <v>8000000</v>
      </c>
      <c r="F1874" s="759">
        <f t="shared" si="1264"/>
        <v>8800000</v>
      </c>
      <c r="G1874" s="759">
        <f t="shared" si="1264"/>
        <v>9680000</v>
      </c>
      <c r="H1874" s="132"/>
    </row>
    <row r="1875" spans="1:8" s="127" customFormat="1" outlineLevel="3">
      <c r="A1875" s="766"/>
      <c r="B1875" s="766"/>
      <c r="C1875" s="777">
        <v>3110599</v>
      </c>
      <c r="D1875" s="768" t="s">
        <v>485</v>
      </c>
      <c r="E1875" s="771">
        <v>8000000</v>
      </c>
      <c r="F1875" s="759">
        <f t="shared" si="1264"/>
        <v>8800000</v>
      </c>
      <c r="G1875" s="759">
        <f t="shared" si="1264"/>
        <v>9680000</v>
      </c>
      <c r="H1875" s="132"/>
    </row>
    <row r="1876" spans="1:8" s="765" customFormat="1" ht="30" outlineLevel="3">
      <c r="A1876" s="745"/>
      <c r="B1876" s="745"/>
      <c r="C1876" s="762">
        <v>3111400</v>
      </c>
      <c r="D1876" s="763" t="s">
        <v>478</v>
      </c>
      <c r="E1876" s="781">
        <f>E1877+E1878+E1879+E1880</f>
        <v>19000000</v>
      </c>
      <c r="F1876" s="759">
        <f t="shared" si="1264"/>
        <v>20900000</v>
      </c>
      <c r="G1876" s="759">
        <f t="shared" si="1264"/>
        <v>22990000</v>
      </c>
      <c r="H1876" s="132"/>
    </row>
    <row r="1877" spans="1:8" s="127" customFormat="1" ht="30" outlineLevel="3">
      <c r="A1877" s="766"/>
      <c r="B1877" s="766"/>
      <c r="C1877" s="777">
        <v>3111401</v>
      </c>
      <c r="D1877" s="768" t="s">
        <v>1777</v>
      </c>
      <c r="E1877" s="771">
        <v>12000000</v>
      </c>
      <c r="F1877" s="759">
        <f t="shared" si="1264"/>
        <v>13200000.000000002</v>
      </c>
      <c r="G1877" s="759">
        <f t="shared" si="1264"/>
        <v>14520000.000000004</v>
      </c>
      <c r="H1877" s="132"/>
    </row>
    <row r="1878" spans="1:8" s="127" customFormat="1" ht="45" outlineLevel="3">
      <c r="A1878" s="766"/>
      <c r="B1878" s="766"/>
      <c r="C1878" s="777">
        <v>3111401</v>
      </c>
      <c r="D1878" s="768" t="s">
        <v>487</v>
      </c>
      <c r="E1878" s="783">
        <v>0</v>
      </c>
      <c r="F1878" s="759">
        <f t="shared" si="1264"/>
        <v>0</v>
      </c>
      <c r="G1878" s="759">
        <f t="shared" si="1264"/>
        <v>0</v>
      </c>
      <c r="H1878" s="132"/>
    </row>
    <row r="1879" spans="1:8" s="127" customFormat="1" ht="30" outlineLevel="3">
      <c r="A1879" s="766"/>
      <c r="B1879" s="766"/>
      <c r="C1879" s="777">
        <v>3111401</v>
      </c>
      <c r="D1879" s="768" t="s">
        <v>488</v>
      </c>
      <c r="E1879" s="771">
        <v>5000000</v>
      </c>
      <c r="F1879" s="759">
        <f t="shared" si="1264"/>
        <v>5500000</v>
      </c>
      <c r="G1879" s="759">
        <f t="shared" si="1264"/>
        <v>6050000.0000000009</v>
      </c>
      <c r="H1879" s="132"/>
    </row>
    <row r="1880" spans="1:8" s="127" customFormat="1" outlineLevel="3">
      <c r="A1880" s="766"/>
      <c r="B1880" s="766"/>
      <c r="C1880" s="777">
        <v>3111401</v>
      </c>
      <c r="D1880" s="784" t="s">
        <v>489</v>
      </c>
      <c r="E1880" s="783">
        <v>2000000</v>
      </c>
      <c r="F1880" s="759">
        <f t="shared" si="1264"/>
        <v>2200000</v>
      </c>
      <c r="G1880" s="759">
        <f t="shared" si="1264"/>
        <v>2420000</v>
      </c>
      <c r="H1880" s="132"/>
    </row>
    <row r="1881" spans="1:8" s="765" customFormat="1" outlineLevel="2">
      <c r="A1881" s="745"/>
      <c r="B1881" s="745"/>
      <c r="C1881" s="801" t="s">
        <v>490</v>
      </c>
      <c r="D1881" s="801"/>
      <c r="E1881" s="780">
        <f>E1874+E1876</f>
        <v>27000000</v>
      </c>
      <c r="F1881" s="759">
        <f t="shared" si="1264"/>
        <v>29700000.000000004</v>
      </c>
      <c r="G1881" s="759">
        <f t="shared" si="1264"/>
        <v>32670000.000000007</v>
      </c>
      <c r="H1881" s="132"/>
    </row>
    <row r="1882" spans="1:8" s="760" customFormat="1" outlineLevel="1">
      <c r="A1882" s="757"/>
      <c r="B1882" s="757"/>
      <c r="C1882" s="813" t="s">
        <v>491</v>
      </c>
      <c r="D1882" s="814"/>
      <c r="E1882" s="773">
        <f>E1881+E1870</f>
        <v>31073217</v>
      </c>
      <c r="F1882" s="759">
        <f t="shared" si="1264"/>
        <v>34180538.700000003</v>
      </c>
      <c r="G1882" s="759">
        <f t="shared" si="1264"/>
        <v>37598592.570000008</v>
      </c>
      <c r="H1882" s="132"/>
    </row>
    <row r="1883" spans="1:8" s="765" customFormat="1">
      <c r="A1883" s="745"/>
      <c r="B1883" s="745"/>
      <c r="C1883" s="785"/>
      <c r="D1883" s="763" t="s">
        <v>492</v>
      </c>
      <c r="E1883" s="779">
        <f>E1664+E1706+E1762+E1817+E1870</f>
        <v>210981398</v>
      </c>
      <c r="F1883" s="779">
        <f t="shared" ref="F1883:G1883" si="1265">F1664+F1706+F1762+F1817+F1870</f>
        <v>232079537.80000001</v>
      </c>
      <c r="G1883" s="779">
        <f t="shared" si="1265"/>
        <v>255287491.58000004</v>
      </c>
      <c r="H1883" s="132"/>
    </row>
    <row r="1884" spans="1:8" s="765" customFormat="1">
      <c r="A1884" s="745"/>
      <c r="B1884" s="745"/>
      <c r="C1884" s="785"/>
      <c r="D1884" s="763" t="s">
        <v>493</v>
      </c>
      <c r="E1884" s="779">
        <f>E1881+E1832+E1773+E1717</f>
        <v>441900000</v>
      </c>
      <c r="F1884" s="779">
        <f t="shared" ref="F1884:G1884" si="1266">F1881+F1832+F1773+F1717</f>
        <v>486090000</v>
      </c>
      <c r="G1884" s="779">
        <f t="shared" si="1266"/>
        <v>534699000.00000012</v>
      </c>
      <c r="H1884" s="132"/>
    </row>
    <row r="1885" spans="1:8" s="765" customFormat="1">
      <c r="A1885" s="745"/>
      <c r="B1885" s="745"/>
      <c r="C1885" s="800" t="s">
        <v>494</v>
      </c>
      <c r="D1885" s="800"/>
      <c r="E1885" s="779">
        <f>E1883+E1884</f>
        <v>652881398</v>
      </c>
      <c r="F1885" s="779">
        <f t="shared" ref="F1885:G1885" si="1267">F1883+F1884</f>
        <v>718169537.79999995</v>
      </c>
      <c r="G1885" s="779">
        <f t="shared" si="1267"/>
        <v>789986491.58000016</v>
      </c>
      <c r="H1885" s="132"/>
    </row>
    <row r="1886" spans="1:8" s="289" customFormat="1">
      <c r="A1886" s="311"/>
      <c r="B1886" s="311"/>
      <c r="C1886" s="312"/>
      <c r="D1886" s="313"/>
      <c r="E1886" s="314"/>
      <c r="F1886" s="382"/>
      <c r="G1886" s="382"/>
      <c r="H1886" s="132"/>
    </row>
    <row r="1887" spans="1:8" s="289" customFormat="1">
      <c r="A1887" s="311"/>
      <c r="B1887" s="311"/>
      <c r="C1887" s="312"/>
      <c r="D1887" s="313"/>
      <c r="E1887" s="314"/>
      <c r="F1887" s="382"/>
      <c r="G1887" s="382"/>
      <c r="H1887" s="132"/>
    </row>
    <row r="1888" spans="1:8" s="289" customFormat="1">
      <c r="A1888" s="311"/>
      <c r="B1888" s="311"/>
      <c r="C1888" s="312"/>
      <c r="D1888" s="313"/>
      <c r="E1888" s="314"/>
      <c r="F1888" s="382"/>
      <c r="G1888" s="382"/>
      <c r="H1888" s="132"/>
    </row>
    <row r="1889" spans="1:8" s="296" customFormat="1" ht="15.75">
      <c r="A1889" s="382"/>
      <c r="B1889" s="382"/>
      <c r="C1889" s="438" t="s">
        <v>495</v>
      </c>
      <c r="D1889" s="509"/>
      <c r="E1889" s="539"/>
      <c r="F1889" s="540"/>
      <c r="G1889" s="540"/>
      <c r="H1889" s="132"/>
    </row>
    <row r="1890" spans="1:8" s="296" customFormat="1" ht="15.75" outlineLevel="1">
      <c r="A1890" s="382"/>
      <c r="B1890" s="382"/>
      <c r="C1890" s="541" t="s">
        <v>496</v>
      </c>
      <c r="D1890" s="542"/>
      <c r="E1890" s="541"/>
      <c r="F1890" s="540">
        <f t="shared" ref="F1890:G1890" si="1268">E1890*1.1</f>
        <v>0</v>
      </c>
      <c r="G1890" s="540">
        <f t="shared" si="1268"/>
        <v>0</v>
      </c>
      <c r="H1890" s="132"/>
    </row>
    <row r="1891" spans="1:8" s="296" customFormat="1" ht="15.75" outlineLevel="1">
      <c r="A1891" s="543"/>
      <c r="B1891" s="543"/>
      <c r="C1891" s="543" t="s">
        <v>497</v>
      </c>
      <c r="D1891" s="544"/>
      <c r="E1891" s="545"/>
      <c r="F1891" s="540">
        <f t="shared" ref="F1891:G1891" si="1269">E1891*1.1</f>
        <v>0</v>
      </c>
      <c r="G1891" s="540">
        <f t="shared" si="1269"/>
        <v>0</v>
      </c>
      <c r="H1891" s="132"/>
    </row>
    <row r="1892" spans="1:8" s="296" customFormat="1" ht="15.75" outlineLevel="1">
      <c r="A1892" s="543" t="s">
        <v>204</v>
      </c>
      <c r="B1892" s="543" t="s">
        <v>98</v>
      </c>
      <c r="C1892" s="546" t="s">
        <v>498</v>
      </c>
      <c r="D1892" s="547"/>
      <c r="E1892" s="547"/>
      <c r="F1892" s="540">
        <f t="shared" ref="F1892:G1892" si="1270">E1892*1.1</f>
        <v>0</v>
      </c>
      <c r="G1892" s="540">
        <f t="shared" si="1270"/>
        <v>0</v>
      </c>
      <c r="H1892" s="132"/>
    </row>
    <row r="1893" spans="1:8" s="296" customFormat="1" ht="15.75" outlineLevel="2">
      <c r="A1893" s="543"/>
      <c r="B1893" s="543"/>
      <c r="C1893" s="546">
        <v>2110100</v>
      </c>
      <c r="D1893" s="548" t="s">
        <v>13</v>
      </c>
      <c r="E1893" s="549">
        <f>E1894</f>
        <v>1065922603</v>
      </c>
      <c r="F1893" s="540">
        <f t="shared" ref="F1893:G1893" si="1271">E1893*1.1</f>
        <v>1172514863.3000002</v>
      </c>
      <c r="G1893" s="540">
        <f t="shared" si="1271"/>
        <v>1289766349.6300004</v>
      </c>
      <c r="H1893" s="132"/>
    </row>
    <row r="1894" spans="1:8" s="296" customFormat="1" ht="15.75" outlineLevel="2">
      <c r="A1894" s="550"/>
      <c r="B1894" s="550"/>
      <c r="C1894" s="551">
        <v>2110101</v>
      </c>
      <c r="D1894" s="552" t="s">
        <v>499</v>
      </c>
      <c r="E1894" s="553">
        <v>1065922603</v>
      </c>
      <c r="F1894" s="540">
        <f t="shared" ref="F1894:G1894" si="1272">E1894*1.1</f>
        <v>1172514863.3000002</v>
      </c>
      <c r="G1894" s="540">
        <f t="shared" si="1272"/>
        <v>1289766349.6300004</v>
      </c>
      <c r="H1894" s="132"/>
    </row>
    <row r="1895" spans="1:8" s="296" customFormat="1" ht="15.75" outlineLevel="2">
      <c r="A1895" s="543"/>
      <c r="B1895" s="543"/>
      <c r="C1895" s="546">
        <v>2110200</v>
      </c>
      <c r="D1895" s="548" t="s">
        <v>155</v>
      </c>
      <c r="E1895" s="554">
        <f>E1896</f>
        <v>6300000</v>
      </c>
      <c r="F1895" s="540">
        <f t="shared" ref="F1895:G1895" si="1273">E1895*1.1</f>
        <v>6930000.0000000009</v>
      </c>
      <c r="G1895" s="540">
        <f t="shared" si="1273"/>
        <v>7623000.0000000019</v>
      </c>
      <c r="H1895" s="132"/>
    </row>
    <row r="1896" spans="1:8" s="296" customFormat="1" ht="30" outlineLevel="2">
      <c r="A1896" s="550"/>
      <c r="B1896" s="550"/>
      <c r="C1896" s="551">
        <v>2110202</v>
      </c>
      <c r="D1896" s="552" t="s">
        <v>500</v>
      </c>
      <c r="E1896" s="553">
        <f>7300000-1000000</f>
        <v>6300000</v>
      </c>
      <c r="F1896" s="540">
        <f t="shared" ref="F1896:G1896" si="1274">E1896*1.1</f>
        <v>6930000.0000000009</v>
      </c>
      <c r="G1896" s="540">
        <f t="shared" si="1274"/>
        <v>7623000.0000000019</v>
      </c>
      <c r="H1896" s="132"/>
    </row>
    <row r="1897" spans="1:8" s="296" customFormat="1" ht="15.75" outlineLevel="2">
      <c r="A1897" s="543"/>
      <c r="B1897" s="543"/>
      <c r="C1897" s="546">
        <v>2210200</v>
      </c>
      <c r="D1897" s="548" t="s">
        <v>19</v>
      </c>
      <c r="E1897" s="549">
        <f>E1898+E1899+E1900</f>
        <v>577907.10200000007</v>
      </c>
      <c r="F1897" s="540">
        <f t="shared" ref="F1897:G1897" si="1275">E1897*1.1</f>
        <v>635697.81220000016</v>
      </c>
      <c r="G1897" s="540">
        <f t="shared" si="1275"/>
        <v>699267.59342000028</v>
      </c>
      <c r="H1897" s="132"/>
    </row>
    <row r="1898" spans="1:8" s="296" customFormat="1" ht="15.75" outlineLevel="2">
      <c r="A1898" s="550"/>
      <c r="B1898" s="550"/>
      <c r="C1898" s="551">
        <v>2210201</v>
      </c>
      <c r="D1898" s="552" t="s">
        <v>236</v>
      </c>
      <c r="E1898" s="553">
        <f>530260-30000</f>
        <v>500260</v>
      </c>
      <c r="F1898" s="540">
        <f t="shared" ref="F1898:G1898" si="1276">E1898*1.1</f>
        <v>550286</v>
      </c>
      <c r="G1898" s="540">
        <f t="shared" si="1276"/>
        <v>605314.60000000009</v>
      </c>
      <c r="H1898" s="132"/>
    </row>
    <row r="1899" spans="1:8" s="296" customFormat="1" ht="15.75" outlineLevel="2">
      <c r="A1899" s="550"/>
      <c r="B1899" s="550"/>
      <c r="C1899" s="551">
        <v>2210202</v>
      </c>
      <c r="D1899" s="552" t="s">
        <v>21</v>
      </c>
      <c r="E1899" s="553">
        <f>9107.10200000002+30000</f>
        <v>39107.102000000021</v>
      </c>
      <c r="F1899" s="540">
        <f t="shared" ref="F1899:G1899" si="1277">E1899*1.1</f>
        <v>43017.812200000029</v>
      </c>
      <c r="G1899" s="540">
        <f t="shared" si="1277"/>
        <v>47319.593420000034</v>
      </c>
      <c r="H1899" s="132"/>
    </row>
    <row r="1900" spans="1:8" s="296" customFormat="1" ht="15.75" outlineLevel="2">
      <c r="A1900" s="550"/>
      <c r="B1900" s="550"/>
      <c r="C1900" s="551">
        <v>2210203</v>
      </c>
      <c r="D1900" s="552" t="s">
        <v>22</v>
      </c>
      <c r="E1900" s="553">
        <f>68540-30000</f>
        <v>38540</v>
      </c>
      <c r="F1900" s="540">
        <f t="shared" ref="F1900:G1900" si="1278">E1900*1.1</f>
        <v>42394</v>
      </c>
      <c r="G1900" s="540">
        <f t="shared" si="1278"/>
        <v>46633.4</v>
      </c>
      <c r="H1900" s="132"/>
    </row>
    <row r="1901" spans="1:8" s="296" customFormat="1" ht="30" outlineLevel="2">
      <c r="A1901" s="543"/>
      <c r="B1901" s="543"/>
      <c r="C1901" s="546">
        <v>2210300</v>
      </c>
      <c r="D1901" s="548" t="s">
        <v>23</v>
      </c>
      <c r="E1901" s="549">
        <f>E1902+E1904+E1903</f>
        <v>1432249.92</v>
      </c>
      <c r="F1901" s="540">
        <f t="shared" ref="F1901:G1901" si="1279">E1901*1.1</f>
        <v>1575474.912</v>
      </c>
      <c r="G1901" s="540">
        <f t="shared" si="1279"/>
        <v>1733022.4032000001</v>
      </c>
      <c r="H1901" s="132"/>
    </row>
    <row r="1902" spans="1:8" s="296" customFormat="1" ht="15.75" outlineLevel="2">
      <c r="A1902" s="550"/>
      <c r="B1902" s="550"/>
      <c r="C1902" s="551">
        <v>2210301</v>
      </c>
      <c r="D1902" s="552" t="s">
        <v>24</v>
      </c>
      <c r="E1902" s="553">
        <f>989612-200000-150000-200000</f>
        <v>439612</v>
      </c>
      <c r="F1902" s="540">
        <f t="shared" ref="F1902:G1902" si="1280">E1902*1.1</f>
        <v>483573.2</v>
      </c>
      <c r="G1902" s="540">
        <f t="shared" si="1280"/>
        <v>531930.52</v>
      </c>
      <c r="H1902" s="132"/>
    </row>
    <row r="1903" spans="1:8" s="296" customFormat="1" ht="15.75" outlineLevel="2">
      <c r="A1903" s="543"/>
      <c r="B1903" s="543"/>
      <c r="C1903" s="551">
        <v>2210302</v>
      </c>
      <c r="D1903" s="552" t="s">
        <v>501</v>
      </c>
      <c r="E1903" s="553">
        <f>1550000+9437.92-500000-150000-200000-200000</f>
        <v>509437.91999999993</v>
      </c>
      <c r="F1903" s="540">
        <f t="shared" ref="F1903:G1903" si="1281">E1903*1.1</f>
        <v>560381.71199999994</v>
      </c>
      <c r="G1903" s="540">
        <f t="shared" si="1281"/>
        <v>616419.88320000004</v>
      </c>
      <c r="H1903" s="132"/>
    </row>
    <row r="1904" spans="1:8" s="296" customFormat="1" ht="15.75" outlineLevel="2">
      <c r="A1904" s="550"/>
      <c r="B1904" s="550"/>
      <c r="C1904" s="551">
        <v>2210303</v>
      </c>
      <c r="D1904" s="552" t="s">
        <v>259</v>
      </c>
      <c r="E1904" s="553">
        <f>833200-150000-200000</f>
        <v>483200</v>
      </c>
      <c r="F1904" s="540">
        <f t="shared" ref="F1904:G1904" si="1282">E1904*1.1</f>
        <v>531520</v>
      </c>
      <c r="G1904" s="540">
        <f t="shared" si="1282"/>
        <v>584672</v>
      </c>
      <c r="H1904" s="132"/>
    </row>
    <row r="1905" spans="1:8" s="296" customFormat="1" ht="30" outlineLevel="2">
      <c r="A1905" s="550"/>
      <c r="B1905" s="550"/>
      <c r="C1905" s="546">
        <v>2210400</v>
      </c>
      <c r="D1905" s="548" t="s">
        <v>209</v>
      </c>
      <c r="E1905" s="549">
        <f>E1906+E1907</f>
        <v>300906.39</v>
      </c>
      <c r="F1905" s="540">
        <f t="shared" ref="F1905:G1905" si="1283">E1905*1.1</f>
        <v>330997.02900000004</v>
      </c>
      <c r="G1905" s="540">
        <f t="shared" si="1283"/>
        <v>364096.73190000007</v>
      </c>
      <c r="H1905" s="132"/>
    </row>
    <row r="1906" spans="1:8" s="296" customFormat="1" ht="15.75" outlineLevel="2">
      <c r="A1906" s="543"/>
      <c r="B1906" s="543"/>
      <c r="C1906" s="551">
        <v>2210403</v>
      </c>
      <c r="D1906" s="552" t="s">
        <v>259</v>
      </c>
      <c r="E1906" s="553">
        <f>276800-150000+6000</f>
        <v>132800</v>
      </c>
      <c r="F1906" s="540">
        <f t="shared" ref="F1906:G1906" si="1284">E1906*1.1</f>
        <v>146080</v>
      </c>
      <c r="G1906" s="540">
        <f t="shared" si="1284"/>
        <v>160688</v>
      </c>
      <c r="H1906" s="132"/>
    </row>
    <row r="1907" spans="1:8" s="296" customFormat="1" ht="15.75" outlineLevel="2">
      <c r="A1907" s="550"/>
      <c r="B1907" s="550"/>
      <c r="C1907" s="551">
        <v>2210404</v>
      </c>
      <c r="D1907" s="552" t="s">
        <v>27</v>
      </c>
      <c r="E1907" s="553">
        <f>368106.39-200000</f>
        <v>168106.39</v>
      </c>
      <c r="F1907" s="540">
        <f t="shared" ref="F1907:G1907" si="1285">E1907*1.1</f>
        <v>184917.02900000004</v>
      </c>
      <c r="G1907" s="540">
        <f t="shared" si="1285"/>
        <v>203408.73190000007</v>
      </c>
      <c r="H1907" s="132"/>
    </row>
    <row r="1908" spans="1:8" s="296" customFormat="1" ht="15.75" outlineLevel="2">
      <c r="A1908" s="550"/>
      <c r="B1908" s="550"/>
      <c r="C1908" s="546">
        <v>2210500</v>
      </c>
      <c r="D1908" s="548" t="s">
        <v>30</v>
      </c>
      <c r="E1908" s="549">
        <f>E1909+E1910</f>
        <v>2272762.0439999998</v>
      </c>
      <c r="F1908" s="540">
        <f t="shared" ref="F1908:G1908" si="1286">E1908*1.1</f>
        <v>2500038.2483999999</v>
      </c>
      <c r="G1908" s="540">
        <f t="shared" si="1286"/>
        <v>2750042.0732400003</v>
      </c>
      <c r="H1908" s="132"/>
    </row>
    <row r="1909" spans="1:8" s="296" customFormat="1" ht="15.75" outlineLevel="2">
      <c r="A1909" s="543"/>
      <c r="B1909" s="543"/>
      <c r="C1909" s="551">
        <v>2210502</v>
      </c>
      <c r="D1909" s="552" t="s">
        <v>502</v>
      </c>
      <c r="E1909" s="553">
        <f>972762.044-400000-100000</f>
        <v>472762.04399999999</v>
      </c>
      <c r="F1909" s="540">
        <f t="shared" ref="F1909:G1909" si="1287">E1909*1.1</f>
        <v>520038.24840000004</v>
      </c>
      <c r="G1909" s="540">
        <f t="shared" si="1287"/>
        <v>572042.07324000006</v>
      </c>
      <c r="H1909" s="132"/>
    </row>
    <row r="1910" spans="1:8" s="296" customFormat="1" ht="30" outlineLevel="2">
      <c r="A1910" s="550"/>
      <c r="B1910" s="550"/>
      <c r="C1910" s="551">
        <v>2210504</v>
      </c>
      <c r="D1910" s="552" t="s">
        <v>503</v>
      </c>
      <c r="E1910" s="555">
        <f>5800000-500000-3000000-500000</f>
        <v>1800000</v>
      </c>
      <c r="F1910" s="540">
        <f t="shared" ref="F1910:G1910" si="1288">E1910*1.1</f>
        <v>1980000.0000000002</v>
      </c>
      <c r="G1910" s="540">
        <f t="shared" si="1288"/>
        <v>2178000.0000000005</v>
      </c>
      <c r="H1910" s="132"/>
    </row>
    <row r="1911" spans="1:8" s="296" customFormat="1" ht="30" outlineLevel="2">
      <c r="A1911" s="550"/>
      <c r="B1911" s="550"/>
      <c r="C1911" s="546">
        <v>2210700</v>
      </c>
      <c r="D1911" s="548" t="s">
        <v>504</v>
      </c>
      <c r="E1911" s="549">
        <f>SUM(E1912:E1916)</f>
        <v>1500000</v>
      </c>
      <c r="F1911" s="540">
        <f t="shared" ref="F1911:G1911" si="1289">E1911*1.1</f>
        <v>1650000.0000000002</v>
      </c>
      <c r="G1911" s="540">
        <f t="shared" si="1289"/>
        <v>1815000.0000000005</v>
      </c>
      <c r="H1911" s="132"/>
    </row>
    <row r="1912" spans="1:8" s="296" customFormat="1" ht="15.75" outlineLevel="2">
      <c r="A1912" s="550"/>
      <c r="B1912" s="550"/>
      <c r="C1912" s="551">
        <v>2210710</v>
      </c>
      <c r="D1912" s="552" t="s">
        <v>38</v>
      </c>
      <c r="E1912" s="553">
        <f>1246000-300000-150000-200000-200000</f>
        <v>396000</v>
      </c>
      <c r="F1912" s="540">
        <f t="shared" ref="F1912:G1912" si="1290">E1912*1.1</f>
        <v>435600.00000000006</v>
      </c>
      <c r="G1912" s="540">
        <f t="shared" si="1290"/>
        <v>479160.00000000012</v>
      </c>
      <c r="H1912" s="132"/>
    </row>
    <row r="1913" spans="1:8" s="296" customFormat="1" ht="15.75" outlineLevel="2">
      <c r="A1913" s="550"/>
      <c r="B1913" s="550"/>
      <c r="C1913" s="551">
        <v>2210711</v>
      </c>
      <c r="D1913" s="552" t="s">
        <v>505</v>
      </c>
      <c r="E1913" s="553">
        <v>174000</v>
      </c>
      <c r="F1913" s="540">
        <f t="shared" ref="F1913:G1913" si="1291">E1913*1.1</f>
        <v>191400.00000000003</v>
      </c>
      <c r="G1913" s="540">
        <f t="shared" si="1291"/>
        <v>210540.00000000006</v>
      </c>
      <c r="H1913" s="132"/>
    </row>
    <row r="1914" spans="1:8" s="296" customFormat="1" ht="15.75" outlineLevel="2">
      <c r="A1914" s="550"/>
      <c r="B1914" s="550"/>
      <c r="C1914" s="551">
        <v>2210712</v>
      </c>
      <c r="D1914" s="552" t="s">
        <v>417</v>
      </c>
      <c r="E1914" s="553">
        <v>290000</v>
      </c>
      <c r="F1914" s="540">
        <f t="shared" ref="F1914:G1914" si="1292">E1914*1.1</f>
        <v>319000</v>
      </c>
      <c r="G1914" s="540">
        <f t="shared" si="1292"/>
        <v>350900</v>
      </c>
      <c r="H1914" s="132"/>
    </row>
    <row r="1915" spans="1:8" s="296" customFormat="1" ht="15.75" outlineLevel="2">
      <c r="A1915" s="543"/>
      <c r="B1915" s="543"/>
      <c r="C1915" s="551">
        <v>2210715</v>
      </c>
      <c r="D1915" s="552" t="s">
        <v>39</v>
      </c>
      <c r="E1915" s="553">
        <f>860000+300000-500000-300000-60000</f>
        <v>300000</v>
      </c>
      <c r="F1915" s="540">
        <f t="shared" ref="F1915:G1915" si="1293">E1915*1.1</f>
        <v>330000</v>
      </c>
      <c r="G1915" s="540">
        <f t="shared" si="1293"/>
        <v>363000.00000000006</v>
      </c>
      <c r="H1915" s="132"/>
    </row>
    <row r="1916" spans="1:8" s="296" customFormat="1" ht="15.75" outlineLevel="2">
      <c r="A1916" s="550"/>
      <c r="B1916" s="550"/>
      <c r="C1916" s="551">
        <v>2210799</v>
      </c>
      <c r="D1916" s="552" t="s">
        <v>506</v>
      </c>
      <c r="E1916" s="553">
        <f>840000-250000-150000-100000</f>
        <v>340000</v>
      </c>
      <c r="F1916" s="540">
        <f t="shared" ref="F1916:G1916" si="1294">E1916*1.1</f>
        <v>374000.00000000006</v>
      </c>
      <c r="G1916" s="540">
        <f t="shared" si="1294"/>
        <v>411400.00000000012</v>
      </c>
      <c r="H1916" s="132"/>
    </row>
    <row r="1917" spans="1:8" s="296" customFormat="1" ht="15.75" outlineLevel="2">
      <c r="A1917" s="550"/>
      <c r="B1917" s="550"/>
      <c r="C1917" s="546">
        <v>2210800</v>
      </c>
      <c r="D1917" s="548" t="s">
        <v>41</v>
      </c>
      <c r="E1917" s="549">
        <f>E1918+E1919</f>
        <v>1789401</v>
      </c>
      <c r="F1917" s="540">
        <f t="shared" ref="F1917:G1917" si="1295">E1917*1.1</f>
        <v>1968341.1</v>
      </c>
      <c r="G1917" s="540">
        <f t="shared" si="1295"/>
        <v>2165175.2100000004</v>
      </c>
      <c r="H1917" s="132"/>
    </row>
    <row r="1918" spans="1:8" s="296" customFormat="1" ht="30" outlineLevel="2">
      <c r="A1918" s="550"/>
      <c r="B1918" s="550"/>
      <c r="C1918" s="551">
        <v>2210801</v>
      </c>
      <c r="D1918" s="552" t="s">
        <v>85</v>
      </c>
      <c r="E1918" s="553">
        <f>1600000-100000-300000</f>
        <v>1200000</v>
      </c>
      <c r="F1918" s="540">
        <f t="shared" ref="F1918:G1918" si="1296">E1918*1.1</f>
        <v>1320000</v>
      </c>
      <c r="G1918" s="540">
        <f t="shared" si="1296"/>
        <v>1452000.0000000002</v>
      </c>
      <c r="H1918" s="132"/>
    </row>
    <row r="1919" spans="1:8" s="296" customFormat="1" ht="15.75" outlineLevel="2">
      <c r="A1919" s="543"/>
      <c r="B1919" s="543"/>
      <c r="C1919" s="551">
        <v>2210802</v>
      </c>
      <c r="D1919" s="552" t="s">
        <v>507</v>
      </c>
      <c r="E1919" s="553">
        <f>1290000-599-500000-200000</f>
        <v>589401</v>
      </c>
      <c r="F1919" s="540">
        <f t="shared" ref="F1919:G1919" si="1297">E1919*1.1</f>
        <v>648341.10000000009</v>
      </c>
      <c r="G1919" s="540">
        <f t="shared" si="1297"/>
        <v>713175.2100000002</v>
      </c>
      <c r="H1919" s="132"/>
    </row>
    <row r="1920" spans="1:8" s="296" customFormat="1" ht="15.75" outlineLevel="2">
      <c r="A1920" s="550"/>
      <c r="B1920" s="550"/>
      <c r="C1920" s="546">
        <v>2211100</v>
      </c>
      <c r="D1920" s="548" t="s">
        <v>49</v>
      </c>
      <c r="E1920" s="549">
        <f>E1921+E1922+E1923</f>
        <v>1160320.2340000002</v>
      </c>
      <c r="F1920" s="540">
        <f t="shared" ref="F1920:G1920" si="1298">E1920*1.1</f>
        <v>1276352.2574000002</v>
      </c>
      <c r="G1920" s="540">
        <f t="shared" si="1298"/>
        <v>1403987.4831400004</v>
      </c>
      <c r="H1920" s="132"/>
    </row>
    <row r="1921" spans="1:8" s="296" customFormat="1" ht="30" outlineLevel="2">
      <c r="A1921" s="543"/>
      <c r="B1921" s="543"/>
      <c r="C1921" s="551">
        <v>2211101</v>
      </c>
      <c r="D1921" s="552" t="s">
        <v>50</v>
      </c>
      <c r="E1921" s="553">
        <f>800000-250000-30000</f>
        <v>520000</v>
      </c>
      <c r="F1921" s="540">
        <f t="shared" ref="F1921:G1921" si="1299">E1921*1.1</f>
        <v>572000</v>
      </c>
      <c r="G1921" s="540">
        <f t="shared" si="1299"/>
        <v>629200</v>
      </c>
      <c r="H1921" s="132"/>
    </row>
    <row r="1922" spans="1:8" s="296" customFormat="1" ht="15.75" outlineLevel="2">
      <c r="A1922" s="543"/>
      <c r="B1922" s="543"/>
      <c r="C1922" s="551">
        <v>2211102</v>
      </c>
      <c r="D1922" s="552" t="s">
        <v>51</v>
      </c>
      <c r="E1922" s="553">
        <f>578381.234-70000</f>
        <v>508381.23400000005</v>
      </c>
      <c r="F1922" s="540">
        <f t="shared" ref="F1922:G1922" si="1300">E1922*1.1</f>
        <v>559219.3574000001</v>
      </c>
      <c r="G1922" s="540">
        <f t="shared" si="1300"/>
        <v>615141.2931400002</v>
      </c>
      <c r="H1922" s="132"/>
    </row>
    <row r="1923" spans="1:8" s="296" customFormat="1" ht="15.75" outlineLevel="2">
      <c r="A1923" s="543"/>
      <c r="B1923" s="543"/>
      <c r="C1923" s="551">
        <v>2211103</v>
      </c>
      <c r="D1923" s="552" t="s">
        <v>508</v>
      </c>
      <c r="E1923" s="553">
        <v>131939</v>
      </c>
      <c r="F1923" s="540">
        <f t="shared" ref="F1923:G1923" si="1301">E1923*1.1</f>
        <v>145132.90000000002</v>
      </c>
      <c r="G1923" s="540">
        <f t="shared" si="1301"/>
        <v>159646.19000000003</v>
      </c>
      <c r="H1923" s="132"/>
    </row>
    <row r="1924" spans="1:8" s="296" customFormat="1" ht="15.75" outlineLevel="2">
      <c r="A1924" s="543"/>
      <c r="B1924" s="543"/>
      <c r="C1924" s="546">
        <v>2211200</v>
      </c>
      <c r="D1924" s="548" t="s">
        <v>53</v>
      </c>
      <c r="E1924" s="549">
        <f>E1925</f>
        <v>1300000</v>
      </c>
      <c r="F1924" s="540">
        <f t="shared" ref="F1924:G1924" si="1302">E1924*1.1</f>
        <v>1430000</v>
      </c>
      <c r="G1924" s="540">
        <f t="shared" si="1302"/>
        <v>1573000.0000000002</v>
      </c>
      <c r="H1924" s="132"/>
    </row>
    <row r="1925" spans="1:8" s="296" customFormat="1" ht="15.75" outlineLevel="2">
      <c r="A1925" s="543"/>
      <c r="B1925" s="543"/>
      <c r="C1925" s="551">
        <v>2211201</v>
      </c>
      <c r="D1925" s="552" t="s">
        <v>91</v>
      </c>
      <c r="E1925" s="553">
        <f>2000000-500000-200000</f>
        <v>1300000</v>
      </c>
      <c r="F1925" s="540">
        <f t="shared" ref="F1925:G1925" si="1303">E1925*1.1</f>
        <v>1430000</v>
      </c>
      <c r="G1925" s="540">
        <f t="shared" si="1303"/>
        <v>1573000.0000000002</v>
      </c>
      <c r="H1925" s="132"/>
    </row>
    <row r="1926" spans="1:8" s="296" customFormat="1" ht="15.75" outlineLevel="2">
      <c r="A1926" s="550"/>
      <c r="B1926" s="550"/>
      <c r="C1926" s="546">
        <v>2211300</v>
      </c>
      <c r="D1926" s="548" t="s">
        <v>55</v>
      </c>
      <c r="E1926" s="549">
        <f>E1927+E1928</f>
        <v>454799</v>
      </c>
      <c r="F1926" s="540">
        <f t="shared" ref="F1926:G1926" si="1304">E1926*1.1</f>
        <v>500278.9</v>
      </c>
      <c r="G1926" s="540">
        <f t="shared" si="1304"/>
        <v>550306.79</v>
      </c>
      <c r="H1926" s="132"/>
    </row>
    <row r="1927" spans="1:8" s="296" customFormat="1" ht="30" outlineLevel="2">
      <c r="A1927" s="550"/>
      <c r="B1927" s="550"/>
      <c r="C1927" s="551">
        <v>2211306</v>
      </c>
      <c r="D1927" s="552" t="s">
        <v>57</v>
      </c>
      <c r="E1927" s="553">
        <v>290000</v>
      </c>
      <c r="F1927" s="540">
        <f t="shared" ref="F1927:G1927" si="1305">E1927*1.1</f>
        <v>319000</v>
      </c>
      <c r="G1927" s="540">
        <f t="shared" si="1305"/>
        <v>350900</v>
      </c>
      <c r="H1927" s="132"/>
    </row>
    <row r="1928" spans="1:8" s="296" customFormat="1" ht="15.75" outlineLevel="2">
      <c r="A1928" s="550"/>
      <c r="B1928" s="550"/>
      <c r="C1928" s="551">
        <v>2211308</v>
      </c>
      <c r="D1928" s="552" t="s">
        <v>509</v>
      </c>
      <c r="E1928" s="553">
        <f>300000-135201</f>
        <v>164799</v>
      </c>
      <c r="F1928" s="540">
        <f t="shared" ref="F1928:G1928" si="1306">E1928*1.1</f>
        <v>181278.90000000002</v>
      </c>
      <c r="G1928" s="540">
        <f t="shared" si="1306"/>
        <v>199406.79000000004</v>
      </c>
      <c r="H1928" s="132"/>
    </row>
    <row r="1929" spans="1:8" s="296" customFormat="1" ht="30" outlineLevel="2">
      <c r="A1929" s="550"/>
      <c r="B1929" s="550"/>
      <c r="C1929" s="546">
        <v>2220100</v>
      </c>
      <c r="D1929" s="548" t="s">
        <v>61</v>
      </c>
      <c r="E1929" s="549">
        <f>E1930+E1931</f>
        <v>2700000</v>
      </c>
      <c r="F1929" s="540">
        <f t="shared" ref="F1929:G1929" si="1307">E1929*1.1</f>
        <v>2970000.0000000005</v>
      </c>
      <c r="G1929" s="540">
        <f t="shared" si="1307"/>
        <v>3267000.0000000009</v>
      </c>
      <c r="H1929" s="132"/>
    </row>
    <row r="1930" spans="1:8" s="296" customFormat="1" ht="30" outlineLevel="2">
      <c r="A1930" s="543"/>
      <c r="B1930" s="543"/>
      <c r="C1930" s="551">
        <v>2220101</v>
      </c>
      <c r="D1930" s="552" t="s">
        <v>510</v>
      </c>
      <c r="E1930" s="553">
        <f>3100000-1000000</f>
        <v>2100000</v>
      </c>
      <c r="F1930" s="540">
        <f t="shared" ref="F1930:G1930" si="1308">E1930*1.1</f>
        <v>2310000</v>
      </c>
      <c r="G1930" s="540">
        <f t="shared" si="1308"/>
        <v>2541000</v>
      </c>
      <c r="H1930" s="132"/>
    </row>
    <row r="1931" spans="1:8" s="296" customFormat="1" ht="15.75" outlineLevel="2">
      <c r="A1931" s="550"/>
      <c r="B1931" s="550"/>
      <c r="C1931" s="551">
        <v>2220105</v>
      </c>
      <c r="D1931" s="552" t="s">
        <v>93</v>
      </c>
      <c r="E1931" s="553">
        <f>2000000-400000-500000-500000</f>
        <v>600000</v>
      </c>
      <c r="F1931" s="540">
        <f t="shared" ref="F1931:G1931" si="1309">E1931*1.1</f>
        <v>660000</v>
      </c>
      <c r="G1931" s="540">
        <f t="shared" si="1309"/>
        <v>726000.00000000012</v>
      </c>
      <c r="H1931" s="132"/>
    </row>
    <row r="1932" spans="1:8" s="296" customFormat="1" ht="15.75" outlineLevel="2">
      <c r="A1932" s="543"/>
      <c r="B1932" s="543"/>
      <c r="C1932" s="546">
        <v>2220200</v>
      </c>
      <c r="D1932" s="548" t="s">
        <v>94</v>
      </c>
      <c r="E1932" s="549">
        <f>E1933</f>
        <v>105306.23999999999</v>
      </c>
      <c r="F1932" s="540">
        <f t="shared" ref="F1932:G1932" si="1310">E1932*1.1</f>
        <v>115836.864</v>
      </c>
      <c r="G1932" s="540">
        <f t="shared" si="1310"/>
        <v>127420.55040000001</v>
      </c>
      <c r="H1932" s="132"/>
    </row>
    <row r="1933" spans="1:8" s="296" customFormat="1" ht="15.75" outlineLevel="2">
      <c r="A1933" s="550"/>
      <c r="B1933" s="550"/>
      <c r="C1933" s="551">
        <v>2220205</v>
      </c>
      <c r="D1933" s="552" t="s">
        <v>180</v>
      </c>
      <c r="E1933" s="553">
        <f>305306.24-200000</f>
        <v>105306.23999999999</v>
      </c>
      <c r="F1933" s="540">
        <f t="shared" ref="F1933:G1933" si="1311">E1933*1.1</f>
        <v>115836.864</v>
      </c>
      <c r="G1933" s="540">
        <f t="shared" si="1311"/>
        <v>127420.55040000001</v>
      </c>
      <c r="H1933" s="132"/>
    </row>
    <row r="1934" spans="1:8" s="296" customFormat="1" ht="15.75" outlineLevel="2">
      <c r="A1934" s="543"/>
      <c r="B1934" s="543"/>
      <c r="C1934" s="546">
        <v>3111000</v>
      </c>
      <c r="D1934" s="548" t="s">
        <v>65</v>
      </c>
      <c r="E1934" s="549">
        <f>E1935+E1936</f>
        <v>905000</v>
      </c>
      <c r="F1934" s="540">
        <f t="shared" ref="F1934:G1934" si="1312">E1934*1.1</f>
        <v>995500.00000000012</v>
      </c>
      <c r="G1934" s="540">
        <f t="shared" si="1312"/>
        <v>1095050.0000000002</v>
      </c>
      <c r="H1934" s="132"/>
    </row>
    <row r="1935" spans="1:8" s="296" customFormat="1" ht="15.75" outlineLevel="2">
      <c r="A1935" s="550"/>
      <c r="B1935" s="550"/>
      <c r="C1935" s="551">
        <v>3111001</v>
      </c>
      <c r="D1935" s="552" t="s">
        <v>66</v>
      </c>
      <c r="E1935" s="553">
        <f>1050000-290000-200000-200000-150000</f>
        <v>210000</v>
      </c>
      <c r="F1935" s="540">
        <f t="shared" ref="F1935:G1935" si="1313">E1935*1.1</f>
        <v>231000.00000000003</v>
      </c>
      <c r="G1935" s="540">
        <f t="shared" si="1313"/>
        <v>254100.00000000006</v>
      </c>
      <c r="H1935" s="132"/>
    </row>
    <row r="1936" spans="1:8" s="296" customFormat="1" ht="15.75" outlineLevel="2">
      <c r="A1936" s="550"/>
      <c r="B1936" s="550"/>
      <c r="C1936" s="551">
        <v>3111002</v>
      </c>
      <c r="D1936" s="552" t="s">
        <v>67</v>
      </c>
      <c r="E1936" s="553">
        <f>1495000-500000+200000-500000</f>
        <v>695000</v>
      </c>
      <c r="F1936" s="540">
        <f t="shared" ref="F1936:G1936" si="1314">E1936*1.1</f>
        <v>764500.00000000012</v>
      </c>
      <c r="G1936" s="540">
        <f t="shared" si="1314"/>
        <v>840950.00000000023</v>
      </c>
      <c r="H1936" s="132"/>
    </row>
    <row r="1937" spans="1:8" s="296" customFormat="1" ht="15.75" outlineLevel="1">
      <c r="A1937" s="543"/>
      <c r="B1937" s="543"/>
      <c r="C1937" s="546" t="s">
        <v>511</v>
      </c>
      <c r="D1937" s="548"/>
      <c r="E1937" s="521">
        <f>E1934+E1932+E1929+E1926+E1924+E1920+E1917+E1911+E1905+E1908+E1901+E1897+E1895+E1893</f>
        <v>1086721254.9300001</v>
      </c>
      <c r="F1937" s="540">
        <f t="shared" ref="F1937:G1937" si="1315">E1937*1.1</f>
        <v>1195393380.4230001</v>
      </c>
      <c r="G1937" s="540">
        <f t="shared" si="1315"/>
        <v>1314932718.4653003</v>
      </c>
      <c r="H1937" s="132"/>
    </row>
    <row r="1938" spans="1:8" s="296" customFormat="1" ht="15.75" outlineLevel="1">
      <c r="A1938" s="550"/>
      <c r="B1938" s="550"/>
      <c r="C1938" s="546"/>
      <c r="D1938" s="548"/>
      <c r="E1938" s="491">
        <v>0</v>
      </c>
      <c r="F1938" s="540">
        <f t="shared" ref="F1938:G1938" si="1316">E1938*1.1</f>
        <v>0</v>
      </c>
      <c r="G1938" s="540">
        <f t="shared" si="1316"/>
        <v>0</v>
      </c>
      <c r="H1938" s="132"/>
    </row>
    <row r="1939" spans="1:8" s="296" customFormat="1" ht="15.75" outlineLevel="1">
      <c r="A1939" s="543"/>
      <c r="B1939" s="543"/>
      <c r="C1939" s="543" t="s">
        <v>512</v>
      </c>
      <c r="D1939" s="544"/>
      <c r="E1939" s="521">
        <f>E1937</f>
        <v>1086721254.9300001</v>
      </c>
      <c r="F1939" s="540">
        <f t="shared" ref="F1939:G1939" si="1317">E1939*1.1</f>
        <v>1195393380.4230001</v>
      </c>
      <c r="G1939" s="540">
        <f t="shared" si="1317"/>
        <v>1314932718.4653003</v>
      </c>
      <c r="H1939" s="132"/>
    </row>
    <row r="1940" spans="1:8" s="296" customFormat="1" ht="15.75" outlineLevel="1">
      <c r="A1940" s="550"/>
      <c r="B1940" s="550"/>
      <c r="C1940" s="546"/>
      <c r="D1940" s="548"/>
      <c r="E1940" s="491">
        <v>0</v>
      </c>
      <c r="F1940" s="540">
        <f t="shared" ref="F1940:G1940" si="1318">E1940*1.1</f>
        <v>0</v>
      </c>
      <c r="G1940" s="540">
        <f t="shared" si="1318"/>
        <v>0</v>
      </c>
      <c r="H1940" s="132"/>
    </row>
    <row r="1941" spans="1:8" s="296" customFormat="1" ht="15.75" outlineLevel="1">
      <c r="A1941" s="550"/>
      <c r="B1941" s="550"/>
      <c r="C1941" s="546"/>
      <c r="D1941" s="548"/>
      <c r="E1941" s="491">
        <v>0</v>
      </c>
      <c r="F1941" s="540">
        <f t="shared" ref="F1941:G1941" si="1319">E1941*1.1</f>
        <v>0</v>
      </c>
      <c r="G1941" s="540">
        <f t="shared" si="1319"/>
        <v>0</v>
      </c>
      <c r="H1941" s="132"/>
    </row>
    <row r="1942" spans="1:8" s="296" customFormat="1" ht="15.75" outlineLevel="1">
      <c r="A1942" s="550"/>
      <c r="B1942" s="550"/>
      <c r="C1942" s="546"/>
      <c r="D1942" s="548"/>
      <c r="E1942" s="491">
        <v>0</v>
      </c>
      <c r="F1942" s="540">
        <f t="shared" ref="F1942:G1942" si="1320">E1942*1.1</f>
        <v>0</v>
      </c>
      <c r="G1942" s="540">
        <f t="shared" si="1320"/>
        <v>0</v>
      </c>
      <c r="H1942" s="132"/>
    </row>
    <row r="1943" spans="1:8" s="296" customFormat="1" ht="15.75" outlineLevel="1">
      <c r="A1943" s="543" t="s">
        <v>204</v>
      </c>
      <c r="B1943" s="543" t="s">
        <v>98</v>
      </c>
      <c r="C1943" s="543" t="s">
        <v>513</v>
      </c>
      <c r="D1943" s="548"/>
      <c r="E1943" s="548"/>
      <c r="F1943" s="540">
        <f t="shared" ref="F1943:G1943" si="1321">E1943*1.1</f>
        <v>0</v>
      </c>
      <c r="G1943" s="540">
        <f t="shared" si="1321"/>
        <v>0</v>
      </c>
      <c r="H1943" s="132"/>
    </row>
    <row r="1944" spans="1:8" s="296" customFormat="1" ht="30" outlineLevel="2">
      <c r="A1944" s="543"/>
      <c r="B1944" s="543"/>
      <c r="C1944" s="546">
        <v>2210300</v>
      </c>
      <c r="D1944" s="548" t="s">
        <v>23</v>
      </c>
      <c r="E1944" s="554">
        <f>E1945</f>
        <v>2000000</v>
      </c>
      <c r="F1944" s="540">
        <f t="shared" ref="F1944:G1944" si="1322">E1944*1.1</f>
        <v>2200000</v>
      </c>
      <c r="G1944" s="540">
        <f t="shared" si="1322"/>
        <v>2420000</v>
      </c>
      <c r="H1944" s="132"/>
    </row>
    <row r="1945" spans="1:8" s="296" customFormat="1" ht="15.75" outlineLevel="2">
      <c r="A1945" s="543"/>
      <c r="B1945" s="543"/>
      <c r="C1945" s="551">
        <v>2210303</v>
      </c>
      <c r="D1945" s="552" t="s">
        <v>514</v>
      </c>
      <c r="E1945" s="555">
        <f>3000000+1000000+500000-2500000</f>
        <v>2000000</v>
      </c>
      <c r="F1945" s="540">
        <f t="shared" ref="F1945:G1945" si="1323">E1945*1.1</f>
        <v>2200000</v>
      </c>
      <c r="G1945" s="540">
        <f t="shared" si="1323"/>
        <v>2420000</v>
      </c>
      <c r="H1945" s="132"/>
    </row>
    <row r="1946" spans="1:8" s="296" customFormat="1" ht="15.75" outlineLevel="1">
      <c r="A1946" s="543"/>
      <c r="B1946" s="543"/>
      <c r="C1946" s="546" t="s">
        <v>515</v>
      </c>
      <c r="D1946" s="548"/>
      <c r="E1946" s="521">
        <f>E1944</f>
        <v>2000000</v>
      </c>
      <c r="F1946" s="540">
        <f t="shared" ref="F1946:G1946" si="1324">E1946*1.1</f>
        <v>2200000</v>
      </c>
      <c r="G1946" s="540">
        <f t="shared" si="1324"/>
        <v>2420000</v>
      </c>
      <c r="H1946" s="132"/>
    </row>
    <row r="1947" spans="1:8" s="296" customFormat="1" ht="15.75" outlineLevel="1">
      <c r="A1947" s="550"/>
      <c r="B1947" s="550"/>
      <c r="C1947" s="551"/>
      <c r="D1947" s="552"/>
      <c r="E1947" s="491">
        <v>0</v>
      </c>
      <c r="F1947" s="540">
        <f t="shared" ref="F1947:G1947" si="1325">E1947*1.1</f>
        <v>0</v>
      </c>
      <c r="G1947" s="540">
        <f t="shared" si="1325"/>
        <v>0</v>
      </c>
      <c r="H1947" s="132"/>
    </row>
    <row r="1948" spans="1:8" s="296" customFormat="1" ht="15.75" outlineLevel="1">
      <c r="A1948" s="550"/>
      <c r="B1948" s="550"/>
      <c r="C1948" s="551"/>
      <c r="D1948" s="552"/>
      <c r="E1948" s="491">
        <v>0</v>
      </c>
      <c r="F1948" s="540">
        <f t="shared" ref="F1948:G1948" si="1326">E1948*1.1</f>
        <v>0</v>
      </c>
      <c r="G1948" s="540">
        <f t="shared" si="1326"/>
        <v>0</v>
      </c>
      <c r="H1948" s="132"/>
    </row>
    <row r="1949" spans="1:8" s="296" customFormat="1" ht="15.75" outlineLevel="1">
      <c r="A1949" s="543" t="s">
        <v>204</v>
      </c>
      <c r="B1949" s="543" t="s">
        <v>98</v>
      </c>
      <c r="C1949" s="543" t="s">
        <v>516</v>
      </c>
      <c r="D1949" s="548"/>
      <c r="E1949" s="491">
        <v>0</v>
      </c>
      <c r="F1949" s="540">
        <f t="shared" ref="F1949:G1949" si="1327">E1949*1.1</f>
        <v>0</v>
      </c>
      <c r="G1949" s="540">
        <f t="shared" si="1327"/>
        <v>0</v>
      </c>
      <c r="H1949" s="132"/>
    </row>
    <row r="1950" spans="1:8" s="296" customFormat="1" ht="15.75" outlineLevel="3">
      <c r="A1950" s="543"/>
      <c r="B1950" s="543"/>
      <c r="C1950" s="546">
        <v>2110100</v>
      </c>
      <c r="D1950" s="548" t="s">
        <v>13</v>
      </c>
      <c r="E1950" s="554">
        <f>E1951</f>
        <v>69366078</v>
      </c>
      <c r="F1950" s="540">
        <f t="shared" ref="F1950:G1950" si="1328">E1950*1.1</f>
        <v>76302685.800000012</v>
      </c>
      <c r="G1950" s="540">
        <f t="shared" si="1328"/>
        <v>83932954.380000025</v>
      </c>
      <c r="H1950" s="132"/>
    </row>
    <row r="1951" spans="1:8" s="296" customFormat="1" ht="15.75" outlineLevel="3">
      <c r="A1951" s="550"/>
      <c r="B1951" s="550"/>
      <c r="C1951" s="551">
        <v>2110101</v>
      </c>
      <c r="D1951" s="552" t="s">
        <v>14</v>
      </c>
      <c r="E1951" s="555">
        <v>69366078</v>
      </c>
      <c r="F1951" s="540">
        <f t="shared" ref="F1951:G1951" si="1329">E1951*1.1</f>
        <v>76302685.800000012</v>
      </c>
      <c r="G1951" s="540">
        <f t="shared" si="1329"/>
        <v>83932954.380000025</v>
      </c>
      <c r="H1951" s="132"/>
    </row>
    <row r="1952" spans="1:8" s="296" customFormat="1" ht="15.75" outlineLevel="3">
      <c r="A1952" s="543"/>
      <c r="B1952" s="543"/>
      <c r="C1952" s="546">
        <v>2210100</v>
      </c>
      <c r="D1952" s="548" t="s">
        <v>16</v>
      </c>
      <c r="E1952" s="554">
        <f>E1953+E1954</f>
        <v>193912.61800000002</v>
      </c>
      <c r="F1952" s="540">
        <f t="shared" ref="F1952:G1952" si="1330">E1952*1.1</f>
        <v>213303.87980000002</v>
      </c>
      <c r="G1952" s="540">
        <f t="shared" si="1330"/>
        <v>234634.26778000005</v>
      </c>
      <c r="H1952" s="132"/>
    </row>
    <row r="1953" spans="1:8" s="296" customFormat="1" ht="15.75" outlineLevel="3">
      <c r="A1953" s="543"/>
      <c r="B1953" s="543"/>
      <c r="C1953" s="551">
        <v>2210101</v>
      </c>
      <c r="D1953" s="552" t="s">
        <v>17</v>
      </c>
      <c r="E1953" s="555">
        <v>100275.21400000001</v>
      </c>
      <c r="F1953" s="540">
        <f t="shared" ref="F1953:G1953" si="1331">E1953*1.1</f>
        <v>110302.73540000002</v>
      </c>
      <c r="G1953" s="540">
        <f t="shared" si="1331"/>
        <v>121333.00894000003</v>
      </c>
      <c r="H1953" s="132"/>
    </row>
    <row r="1954" spans="1:8" s="296" customFormat="1" ht="15.75" outlineLevel="3">
      <c r="A1954" s="543"/>
      <c r="B1954" s="543"/>
      <c r="C1954" s="551">
        <v>2210102</v>
      </c>
      <c r="D1954" s="552" t="s">
        <v>18</v>
      </c>
      <c r="E1954" s="555">
        <v>93637.403999999995</v>
      </c>
      <c r="F1954" s="540">
        <f t="shared" ref="F1954:G1954" si="1332">E1954*1.1</f>
        <v>103001.1444</v>
      </c>
      <c r="G1954" s="540">
        <f t="shared" si="1332"/>
        <v>113301.25884000001</v>
      </c>
      <c r="H1954" s="132"/>
    </row>
    <row r="1955" spans="1:8" s="296" customFormat="1" ht="15.75" outlineLevel="3">
      <c r="A1955" s="550"/>
      <c r="B1955" s="550"/>
      <c r="C1955" s="546">
        <v>2210200</v>
      </c>
      <c r="D1955" s="548" t="s">
        <v>19</v>
      </c>
      <c r="E1955" s="554">
        <f>E1956+E1957</f>
        <v>700186.48599999992</v>
      </c>
      <c r="F1955" s="540">
        <f t="shared" ref="F1955:G1955" si="1333">E1955*1.1</f>
        <v>770205.13459999999</v>
      </c>
      <c r="G1955" s="540">
        <f t="shared" si="1333"/>
        <v>847225.64806000004</v>
      </c>
      <c r="H1955" s="132"/>
    </row>
    <row r="1956" spans="1:8" s="296" customFormat="1" ht="15.75" outlineLevel="3">
      <c r="A1956" s="550"/>
      <c r="B1956" s="550"/>
      <c r="C1956" s="551">
        <v>2210201</v>
      </c>
      <c r="D1956" s="552" t="s">
        <v>236</v>
      </c>
      <c r="E1956" s="555">
        <f>828597.842-200000</f>
        <v>628597.84199999995</v>
      </c>
      <c r="F1956" s="540">
        <f t="shared" ref="F1956:G1956" si="1334">E1956*1.1</f>
        <v>691457.62619999994</v>
      </c>
      <c r="G1956" s="540">
        <f t="shared" si="1334"/>
        <v>760603.38881999999</v>
      </c>
      <c r="H1956" s="132"/>
    </row>
    <row r="1957" spans="1:8" s="296" customFormat="1" ht="15.75" outlineLevel="3">
      <c r="A1957" s="543"/>
      <c r="B1957" s="543"/>
      <c r="C1957" s="551">
        <v>2210202</v>
      </c>
      <c r="D1957" s="552" t="s">
        <v>21</v>
      </c>
      <c r="E1957" s="555">
        <v>71588.644</v>
      </c>
      <c r="F1957" s="540">
        <f t="shared" ref="F1957:G1957" si="1335">E1957*1.1</f>
        <v>78747.508400000006</v>
      </c>
      <c r="G1957" s="540">
        <f t="shared" si="1335"/>
        <v>86622.259240000014</v>
      </c>
      <c r="H1957" s="132"/>
    </row>
    <row r="1958" spans="1:8" s="296" customFormat="1" ht="30" outlineLevel="3">
      <c r="A1958" s="550"/>
      <c r="B1958" s="550"/>
      <c r="C1958" s="546">
        <v>2210300</v>
      </c>
      <c r="D1958" s="548" t="s">
        <v>23</v>
      </c>
      <c r="E1958" s="554">
        <f>E1960+E1959</f>
        <v>2130131</v>
      </c>
      <c r="F1958" s="540">
        <f t="shared" ref="F1958:G1958" si="1336">E1958*1.1</f>
        <v>2343144.1</v>
      </c>
      <c r="G1958" s="540">
        <f t="shared" si="1336"/>
        <v>2577458.5100000002</v>
      </c>
      <c r="H1958" s="132"/>
    </row>
    <row r="1959" spans="1:8" s="296" customFormat="1" ht="15.75" outlineLevel="3">
      <c r="A1959" s="550"/>
      <c r="B1959" s="550"/>
      <c r="C1959" s="551">
        <v>2210301</v>
      </c>
      <c r="D1959" s="552" t="s">
        <v>24</v>
      </c>
      <c r="E1959" s="555">
        <f>1228304.5-200000</f>
        <v>1028304.5</v>
      </c>
      <c r="F1959" s="540">
        <f t="shared" ref="F1959:G1959" si="1337">E1959*1.1</f>
        <v>1131134.9500000002</v>
      </c>
      <c r="G1959" s="540">
        <f t="shared" si="1337"/>
        <v>1244248.4450000003</v>
      </c>
      <c r="H1959" s="132"/>
    </row>
    <row r="1960" spans="1:8" s="296" customFormat="1" ht="15.75" outlineLevel="3">
      <c r="A1960" s="543"/>
      <c r="B1960" s="543"/>
      <c r="C1960" s="551">
        <v>2210302</v>
      </c>
      <c r="D1960" s="552" t="s">
        <v>501</v>
      </c>
      <c r="E1960" s="555">
        <f>1211695.5+910331-500000-20200-500000</f>
        <v>1101826.5</v>
      </c>
      <c r="F1960" s="540">
        <f t="shared" ref="F1960:G1960" si="1338">E1960*1.1</f>
        <v>1212009.1500000001</v>
      </c>
      <c r="G1960" s="540">
        <f t="shared" si="1338"/>
        <v>1333210.0650000002</v>
      </c>
      <c r="H1960" s="132"/>
    </row>
    <row r="1961" spans="1:8" s="296" customFormat="1" ht="15.75" outlineLevel="3">
      <c r="A1961" s="550"/>
      <c r="B1961" s="550"/>
      <c r="C1961" s="546">
        <v>2211200</v>
      </c>
      <c r="D1961" s="548" t="s">
        <v>53</v>
      </c>
      <c r="E1961" s="549">
        <f>E1962</f>
        <v>1200000</v>
      </c>
      <c r="F1961" s="540">
        <f t="shared" ref="F1961:G1961" si="1339">E1961*1.1</f>
        <v>1320000</v>
      </c>
      <c r="G1961" s="540">
        <f t="shared" si="1339"/>
        <v>1452000.0000000002</v>
      </c>
      <c r="H1961" s="132"/>
    </row>
    <row r="1962" spans="1:8" s="296" customFormat="1" ht="15.75" outlineLevel="3">
      <c r="A1962" s="550"/>
      <c r="B1962" s="550"/>
      <c r="C1962" s="551">
        <v>2211201</v>
      </c>
      <c r="D1962" s="552" t="s">
        <v>91</v>
      </c>
      <c r="E1962" s="553">
        <f>2000000-500000-300000</f>
        <v>1200000</v>
      </c>
      <c r="F1962" s="540">
        <f t="shared" ref="F1962:G1962" si="1340">E1962*1.1</f>
        <v>1320000</v>
      </c>
      <c r="G1962" s="540">
        <f t="shared" si="1340"/>
        <v>1452000.0000000002</v>
      </c>
      <c r="H1962" s="132"/>
    </row>
    <row r="1963" spans="1:8" s="296" customFormat="1" ht="15.75" outlineLevel="2">
      <c r="A1963" s="543"/>
      <c r="B1963" s="543"/>
      <c r="C1963" s="546" t="s">
        <v>101</v>
      </c>
      <c r="D1963" s="548"/>
      <c r="E1963" s="521">
        <f>E1950+E1952+E1955+E1958+E1961</f>
        <v>73590308.104000002</v>
      </c>
      <c r="F1963" s="540">
        <f t="shared" ref="F1963:G1963" si="1341">E1963*1.1</f>
        <v>80949338.914400011</v>
      </c>
      <c r="G1963" s="540">
        <f t="shared" si="1341"/>
        <v>89044272.805840015</v>
      </c>
      <c r="H1963" s="132"/>
    </row>
    <row r="1964" spans="1:8" s="296" customFormat="1" ht="15.75" outlineLevel="2">
      <c r="A1964" s="543"/>
      <c r="B1964" s="543"/>
      <c r="C1964" s="512"/>
      <c r="D1964" s="527"/>
      <c r="E1964" s="491">
        <v>0</v>
      </c>
      <c r="F1964" s="540">
        <f t="shared" ref="F1964:G1964" si="1342">E1964*1.1</f>
        <v>0</v>
      </c>
      <c r="G1964" s="540">
        <f t="shared" si="1342"/>
        <v>0</v>
      </c>
      <c r="H1964" s="132"/>
    </row>
    <row r="1965" spans="1:8" s="296" customFormat="1" ht="15.75" outlineLevel="2">
      <c r="A1965" s="556" t="s">
        <v>233</v>
      </c>
      <c r="B1965" s="543" t="s">
        <v>98</v>
      </c>
      <c r="C1965" s="556" t="s">
        <v>517</v>
      </c>
      <c r="D1965" s="548"/>
      <c r="E1965" s="491"/>
      <c r="F1965" s="540">
        <f t="shared" ref="F1965:G1965" si="1343">E1965*1.1</f>
        <v>0</v>
      </c>
      <c r="G1965" s="540">
        <f t="shared" si="1343"/>
        <v>0</v>
      </c>
      <c r="H1965" s="132"/>
    </row>
    <row r="1966" spans="1:8" s="296" customFormat="1" ht="15.75" outlineLevel="3">
      <c r="A1966" s="543"/>
      <c r="B1966" s="543"/>
      <c r="C1966" s="546">
        <v>3110202</v>
      </c>
      <c r="D1966" s="548" t="s">
        <v>518</v>
      </c>
      <c r="E1966" s="554">
        <f>SUM(E1967:E1968)</f>
        <v>160000000</v>
      </c>
      <c r="F1966" s="540">
        <f t="shared" ref="F1966:G1966" si="1344">E1966*1.1</f>
        <v>176000000</v>
      </c>
      <c r="G1966" s="540">
        <f t="shared" si="1344"/>
        <v>193600000.00000003</v>
      </c>
      <c r="H1966" s="132"/>
    </row>
    <row r="1967" spans="1:8" s="296" customFormat="1" ht="30" outlineLevel="3">
      <c r="A1967" s="550"/>
      <c r="B1967" s="550"/>
      <c r="C1967" s="551">
        <v>3110202</v>
      </c>
      <c r="D1967" s="557" t="s">
        <v>519</v>
      </c>
      <c r="E1967" s="558">
        <v>60000000</v>
      </c>
      <c r="F1967" s="540">
        <f t="shared" ref="F1967:G1967" si="1345">E1967*1.1</f>
        <v>66000000.000000007</v>
      </c>
      <c r="G1967" s="540">
        <f t="shared" si="1345"/>
        <v>72600000.000000015</v>
      </c>
      <c r="H1967" s="132"/>
    </row>
    <row r="1968" spans="1:8" s="296" customFormat="1" ht="45" outlineLevel="3">
      <c r="A1968" s="550"/>
      <c r="B1968" s="550"/>
      <c r="C1968" s="551">
        <v>3110202</v>
      </c>
      <c r="D1968" s="557" t="s">
        <v>520</v>
      </c>
      <c r="E1968" s="558">
        <v>100000000</v>
      </c>
      <c r="F1968" s="540">
        <f t="shared" ref="F1968:G1968" si="1346">E1968*1.1</f>
        <v>110000000.00000001</v>
      </c>
      <c r="G1968" s="540">
        <f t="shared" si="1346"/>
        <v>121000000.00000003</v>
      </c>
      <c r="H1968" s="132"/>
    </row>
    <row r="1969" spans="1:8" s="296" customFormat="1" ht="15.75" outlineLevel="2">
      <c r="A1969" s="543"/>
      <c r="B1969" s="543"/>
      <c r="C1969" s="546" t="s">
        <v>201</v>
      </c>
      <c r="D1969" s="548"/>
      <c r="E1969" s="559">
        <f>E1966</f>
        <v>160000000</v>
      </c>
      <c r="F1969" s="540">
        <f t="shared" ref="F1969:G1969" si="1347">E1969*1.1</f>
        <v>176000000</v>
      </c>
      <c r="G1969" s="540">
        <f t="shared" si="1347"/>
        <v>193600000.00000003</v>
      </c>
      <c r="H1969" s="132"/>
    </row>
    <row r="1970" spans="1:8" s="296" customFormat="1" ht="15.75" outlineLevel="1">
      <c r="A1970" s="560"/>
      <c r="B1970" s="560"/>
      <c r="C1970" s="546" t="s">
        <v>521</v>
      </c>
      <c r="D1970" s="527"/>
      <c r="E1970" s="521">
        <f>E1969+E1963</f>
        <v>233590308.104</v>
      </c>
      <c r="F1970" s="540">
        <f t="shared" ref="F1970:G1970" si="1348">E1970*1.1</f>
        <v>256949338.91440001</v>
      </c>
      <c r="G1970" s="540">
        <f t="shared" si="1348"/>
        <v>282644272.80584002</v>
      </c>
      <c r="H1970" s="132"/>
    </row>
    <row r="1971" spans="1:8" s="296" customFormat="1" ht="15.75" outlineLevel="1">
      <c r="A1971" s="550"/>
      <c r="B1971" s="550"/>
      <c r="C1971" s="546"/>
      <c r="D1971" s="548"/>
      <c r="E1971" s="491">
        <v>0</v>
      </c>
      <c r="F1971" s="540">
        <f t="shared" ref="F1971:G1971" si="1349">E1971*1.1</f>
        <v>0</v>
      </c>
      <c r="G1971" s="540">
        <f t="shared" si="1349"/>
        <v>0</v>
      </c>
      <c r="H1971" s="132"/>
    </row>
    <row r="1972" spans="1:8" s="296" customFormat="1" ht="15.75" outlineLevel="1">
      <c r="A1972" s="550"/>
      <c r="B1972" s="550"/>
      <c r="C1972" s="551"/>
      <c r="D1972" s="547"/>
      <c r="E1972" s="491">
        <v>0</v>
      </c>
      <c r="F1972" s="540">
        <f t="shared" ref="F1972:G1972" si="1350">E1972*1.1</f>
        <v>0</v>
      </c>
      <c r="G1972" s="540">
        <f t="shared" si="1350"/>
        <v>0</v>
      </c>
      <c r="H1972" s="132"/>
    </row>
    <row r="1973" spans="1:8" s="296" customFormat="1" ht="15.75" outlineLevel="1">
      <c r="A1973" s="543"/>
      <c r="B1973" s="543"/>
      <c r="C1973" s="543" t="s">
        <v>522</v>
      </c>
      <c r="D1973" s="548"/>
      <c r="E1973" s="521">
        <f>E1970+E1946+E1939</f>
        <v>1322311563.0340002</v>
      </c>
      <c r="F1973" s="540">
        <f t="shared" ref="F1973:G1973" si="1351">E1973*1.1</f>
        <v>1454542719.3374002</v>
      </c>
      <c r="G1973" s="540">
        <f t="shared" si="1351"/>
        <v>1599996991.2711403</v>
      </c>
      <c r="H1973" s="132"/>
    </row>
    <row r="1974" spans="1:8" s="296" customFormat="1" ht="15.75" outlineLevel="1">
      <c r="A1974" s="543"/>
      <c r="B1974" s="543"/>
      <c r="C1974" s="543"/>
      <c r="D1974" s="548"/>
      <c r="E1974" s="491">
        <v>0</v>
      </c>
      <c r="F1974" s="540">
        <f t="shared" ref="F1974:G1974" si="1352">E1974*1.1</f>
        <v>0</v>
      </c>
      <c r="G1974" s="540">
        <f t="shared" si="1352"/>
        <v>0</v>
      </c>
      <c r="H1974" s="132"/>
    </row>
    <row r="1975" spans="1:8" s="296" customFormat="1" ht="15.75" outlineLevel="1">
      <c r="A1975" s="556" t="s">
        <v>233</v>
      </c>
      <c r="B1975" s="543" t="s">
        <v>98</v>
      </c>
      <c r="C1975" s="543" t="s">
        <v>523</v>
      </c>
      <c r="D1975" s="548"/>
      <c r="E1975" s="491">
        <v>0</v>
      </c>
      <c r="F1975" s="540">
        <f t="shared" ref="F1975:G1975" si="1353">E1975*1.1</f>
        <v>0</v>
      </c>
      <c r="G1975" s="540">
        <f t="shared" si="1353"/>
        <v>0</v>
      </c>
      <c r="H1975" s="132"/>
    </row>
    <row r="1976" spans="1:8" s="296" customFormat="1" ht="30" outlineLevel="2">
      <c r="A1976" s="543"/>
      <c r="B1976" s="543"/>
      <c r="C1976" s="546">
        <v>2210300</v>
      </c>
      <c r="D1976" s="548" t="s">
        <v>23</v>
      </c>
      <c r="E1976" s="554">
        <f>E1977</f>
        <v>660000</v>
      </c>
      <c r="F1976" s="540">
        <f t="shared" ref="F1976:G1976" si="1354">E1976*1.1</f>
        <v>726000.00000000012</v>
      </c>
      <c r="G1976" s="540">
        <f t="shared" si="1354"/>
        <v>798600.00000000023</v>
      </c>
      <c r="H1976" s="132"/>
    </row>
    <row r="1977" spans="1:8" s="296" customFormat="1" ht="15.75" outlineLevel="2">
      <c r="A1977" s="550"/>
      <c r="B1977" s="550"/>
      <c r="C1977" s="551">
        <v>2210303</v>
      </c>
      <c r="D1977" s="552" t="s">
        <v>26</v>
      </c>
      <c r="E1977" s="555">
        <f>870000+500000+500000-1000000-200000-10000</f>
        <v>660000</v>
      </c>
      <c r="F1977" s="540">
        <f t="shared" ref="F1977:G1977" si="1355">E1977*1.1</f>
        <v>726000.00000000012</v>
      </c>
      <c r="G1977" s="540">
        <f t="shared" si="1355"/>
        <v>798600.00000000023</v>
      </c>
      <c r="H1977" s="132"/>
    </row>
    <row r="1978" spans="1:8" s="296" customFormat="1" ht="15.75" outlineLevel="1">
      <c r="A1978" s="543"/>
      <c r="B1978" s="543"/>
      <c r="C1978" s="546" t="s">
        <v>101</v>
      </c>
      <c r="D1978" s="548"/>
      <c r="E1978" s="559">
        <f>E1976</f>
        <v>660000</v>
      </c>
      <c r="F1978" s="540">
        <f t="shared" ref="F1978:G1978" si="1356">E1978*1.1</f>
        <v>726000.00000000012</v>
      </c>
      <c r="G1978" s="540">
        <f t="shared" si="1356"/>
        <v>798600.00000000023</v>
      </c>
      <c r="H1978" s="132"/>
    </row>
    <row r="1979" spans="1:8" s="296" customFormat="1" ht="15.75" outlineLevel="1">
      <c r="A1979" s="543"/>
      <c r="B1979" s="543"/>
      <c r="C1979" s="546" t="s">
        <v>524</v>
      </c>
      <c r="D1979" s="548"/>
      <c r="E1979" s="521">
        <f>E1978</f>
        <v>660000</v>
      </c>
      <c r="F1979" s="540">
        <f t="shared" ref="F1979:G1979" si="1357">E1979*1.1</f>
        <v>726000.00000000012</v>
      </c>
      <c r="G1979" s="540">
        <f t="shared" si="1357"/>
        <v>798600.00000000023</v>
      </c>
      <c r="H1979" s="132"/>
    </row>
    <row r="1980" spans="1:8" s="296" customFormat="1" ht="15.75" outlineLevel="1">
      <c r="A1980" s="556" t="s">
        <v>233</v>
      </c>
      <c r="B1980" s="543" t="s">
        <v>98</v>
      </c>
      <c r="C1980" s="551"/>
      <c r="D1980" s="552"/>
      <c r="E1980" s="491">
        <v>0</v>
      </c>
      <c r="F1980" s="540">
        <f t="shared" ref="F1980:G1980" si="1358">E1980*1.1</f>
        <v>0</v>
      </c>
      <c r="G1980" s="540">
        <f t="shared" si="1358"/>
        <v>0</v>
      </c>
      <c r="H1980" s="132"/>
    </row>
    <row r="1981" spans="1:8" s="296" customFormat="1" ht="15.75" outlineLevel="1">
      <c r="A1981" s="550"/>
      <c r="B1981" s="550"/>
      <c r="C1981" s="556" t="s">
        <v>525</v>
      </c>
      <c r="D1981" s="552"/>
      <c r="E1981" s="491">
        <v>0</v>
      </c>
      <c r="F1981" s="540">
        <f t="shared" ref="F1981:G1981" si="1359">E1981*1.1</f>
        <v>0</v>
      </c>
      <c r="G1981" s="540">
        <f t="shared" si="1359"/>
        <v>0</v>
      </c>
      <c r="H1981" s="132"/>
    </row>
    <row r="1982" spans="1:8" s="296" customFormat="1" ht="15.75" outlineLevel="1">
      <c r="A1982" s="550"/>
      <c r="B1982" s="550"/>
      <c r="C1982" s="543" t="s">
        <v>526</v>
      </c>
      <c r="D1982" s="552"/>
      <c r="E1982" s="491"/>
      <c r="F1982" s="540">
        <f t="shared" ref="F1982:G1982" si="1360">E1982*1.1</f>
        <v>0</v>
      </c>
      <c r="G1982" s="540">
        <f t="shared" si="1360"/>
        <v>0</v>
      </c>
      <c r="H1982" s="132"/>
    </row>
    <row r="1983" spans="1:8" s="296" customFormat="1" ht="15.75" outlineLevel="2">
      <c r="A1983" s="543"/>
      <c r="B1983" s="556"/>
      <c r="C1983" s="556" t="s">
        <v>527</v>
      </c>
      <c r="D1983" s="548" t="s">
        <v>528</v>
      </c>
      <c r="E1983" s="554">
        <f>SUM(E1984:E2000)</f>
        <v>342489657.42857134</v>
      </c>
      <c r="F1983" s="540">
        <f t="shared" ref="F1983:G1983" si="1361">E1983*1.1</f>
        <v>376738623.1714285</v>
      </c>
      <c r="G1983" s="540">
        <f t="shared" si="1361"/>
        <v>414412485.48857141</v>
      </c>
      <c r="H1983" s="132"/>
    </row>
    <row r="1984" spans="1:8" s="296" customFormat="1" ht="15.75" outlineLevel="2">
      <c r="A1984" s="543"/>
      <c r="B1984" s="543"/>
      <c r="C1984" s="556" t="s">
        <v>529</v>
      </c>
      <c r="D1984" s="527" t="s">
        <v>530</v>
      </c>
      <c r="E1984" s="561">
        <f>108000000-5000000</f>
        <v>103000000</v>
      </c>
      <c r="F1984" s="540">
        <f t="shared" ref="F1984:G1984" si="1362">E1984*1.1</f>
        <v>113300000.00000001</v>
      </c>
      <c r="G1984" s="540">
        <f t="shared" si="1362"/>
        <v>124630000.00000003</v>
      </c>
      <c r="H1984" s="132"/>
    </row>
    <row r="1985" spans="1:8" s="296" customFormat="1" ht="15.75" outlineLevel="2">
      <c r="A1985" s="543"/>
      <c r="B1985" s="543"/>
      <c r="C1985" s="556" t="s">
        <v>529</v>
      </c>
      <c r="D1985" s="527" t="s">
        <v>531</v>
      </c>
      <c r="E1985" s="561">
        <f>26400000-5500000-1728571</f>
        <v>19171429</v>
      </c>
      <c r="F1985" s="540">
        <f t="shared" ref="F1985:G1985" si="1363">E1985*1.1</f>
        <v>21088571.900000002</v>
      </c>
      <c r="G1985" s="540">
        <f t="shared" si="1363"/>
        <v>23197429.090000004</v>
      </c>
      <c r="H1985" s="132"/>
    </row>
    <row r="1986" spans="1:8" s="296" customFormat="1" ht="15.75" outlineLevel="2">
      <c r="A1986" s="543"/>
      <c r="B1986" s="543"/>
      <c r="C1986" s="556" t="s">
        <v>529</v>
      </c>
      <c r="D1986" s="527" t="s">
        <v>532</v>
      </c>
      <c r="E1986" s="561">
        <f>87428571.4285714-7000000</f>
        <v>80428571.428571403</v>
      </c>
      <c r="F1986" s="540">
        <f t="shared" ref="F1986:G1986" si="1364">E1986*1.1</f>
        <v>88471428.571428552</v>
      </c>
      <c r="G1986" s="540">
        <f t="shared" si="1364"/>
        <v>97318571.428571418</v>
      </c>
      <c r="H1986" s="132"/>
    </row>
    <row r="1987" spans="1:8" s="296" customFormat="1" ht="15.75" outlineLevel="2">
      <c r="A1987" s="543"/>
      <c r="B1987" s="543"/>
      <c r="C1987" s="556" t="s">
        <v>529</v>
      </c>
      <c r="D1987" s="527" t="s">
        <v>533</v>
      </c>
      <c r="E1987" s="561">
        <v>12000000</v>
      </c>
      <c r="F1987" s="540">
        <f t="shared" ref="F1987:G1987" si="1365">E1987*1.1</f>
        <v>13200000.000000002</v>
      </c>
      <c r="G1987" s="540">
        <f t="shared" si="1365"/>
        <v>14520000.000000004</v>
      </c>
      <c r="H1987" s="132"/>
    </row>
    <row r="1988" spans="1:8" s="296" customFormat="1" ht="15.75" outlineLevel="2">
      <c r="A1988" s="543"/>
      <c r="B1988" s="543"/>
      <c r="C1988" s="556" t="s">
        <v>529</v>
      </c>
      <c r="D1988" s="527" t="s">
        <v>534</v>
      </c>
      <c r="E1988" s="561">
        <f>11314285.7142857-1300000</f>
        <v>10014285.7142857</v>
      </c>
      <c r="F1988" s="540">
        <f t="shared" ref="F1988:G1988" si="1366">E1988*1.1</f>
        <v>11015714.285714271</v>
      </c>
      <c r="G1988" s="540">
        <f t="shared" si="1366"/>
        <v>12117285.714285698</v>
      </c>
      <c r="H1988" s="132"/>
    </row>
    <row r="1989" spans="1:8" s="296" customFormat="1" ht="15.75" outlineLevel="2">
      <c r="A1989" s="543"/>
      <c r="B1989" s="543"/>
      <c r="C1989" s="556" t="s">
        <v>529</v>
      </c>
      <c r="D1989" s="527" t="s">
        <v>535</v>
      </c>
      <c r="E1989" s="561">
        <v>6500000</v>
      </c>
      <c r="F1989" s="540">
        <f t="shared" ref="F1989:G1989" si="1367">E1989*1.1</f>
        <v>7150000.0000000009</v>
      </c>
      <c r="G1989" s="540">
        <f t="shared" si="1367"/>
        <v>7865000.0000000019</v>
      </c>
      <c r="H1989" s="132"/>
    </row>
    <row r="1990" spans="1:8" s="296" customFormat="1" ht="15.75" outlineLevel="2">
      <c r="A1990" s="543"/>
      <c r="B1990" s="543"/>
      <c r="C1990" s="556" t="s">
        <v>529</v>
      </c>
      <c r="D1990" s="527" t="s">
        <v>536</v>
      </c>
      <c r="E1990" s="561">
        <v>6500000</v>
      </c>
      <c r="F1990" s="540">
        <f t="shared" ref="F1990:G1990" si="1368">E1990*1.1</f>
        <v>7150000.0000000009</v>
      </c>
      <c r="G1990" s="540">
        <f t="shared" si="1368"/>
        <v>7865000.0000000019</v>
      </c>
      <c r="H1990" s="132"/>
    </row>
    <row r="1991" spans="1:8" s="296" customFormat="1" ht="15.75" outlineLevel="2">
      <c r="A1991" s="543"/>
      <c r="B1991" s="543"/>
      <c r="C1991" s="556" t="s">
        <v>529</v>
      </c>
      <c r="D1991" s="527" t="s">
        <v>537</v>
      </c>
      <c r="E1991" s="561">
        <v>6500000</v>
      </c>
      <c r="F1991" s="540">
        <f t="shared" ref="F1991:G1991" si="1369">E1991*1.1</f>
        <v>7150000.0000000009</v>
      </c>
      <c r="G1991" s="540">
        <f t="shared" si="1369"/>
        <v>7865000.0000000019</v>
      </c>
      <c r="H1991" s="132"/>
    </row>
    <row r="1992" spans="1:8" s="296" customFormat="1" ht="15.75" outlineLevel="2">
      <c r="A1992" s="543"/>
      <c r="B1992" s="543"/>
      <c r="C1992" s="556" t="s">
        <v>529</v>
      </c>
      <c r="D1992" s="527" t="s">
        <v>538</v>
      </c>
      <c r="E1992" s="561">
        <v>6500000</v>
      </c>
      <c r="F1992" s="540">
        <f t="shared" ref="F1992:G1992" si="1370">E1992*1.1</f>
        <v>7150000.0000000009</v>
      </c>
      <c r="G1992" s="540">
        <f t="shared" si="1370"/>
        <v>7865000.0000000019</v>
      </c>
      <c r="H1992" s="132"/>
    </row>
    <row r="1993" spans="1:8" s="296" customFormat="1" ht="15.75" outlineLevel="2">
      <c r="A1993" s="543"/>
      <c r="B1993" s="543"/>
      <c r="C1993" s="556" t="s">
        <v>529</v>
      </c>
      <c r="D1993" s="527" t="s">
        <v>539</v>
      </c>
      <c r="E1993" s="561">
        <v>6500000</v>
      </c>
      <c r="F1993" s="540">
        <f t="shared" ref="F1993:G1993" si="1371">E1993*1.1</f>
        <v>7150000.0000000009</v>
      </c>
      <c r="G1993" s="540">
        <f t="shared" si="1371"/>
        <v>7865000.0000000019</v>
      </c>
      <c r="H1993" s="132"/>
    </row>
    <row r="1994" spans="1:8" s="296" customFormat="1" ht="15.75" outlineLevel="2">
      <c r="A1994" s="543"/>
      <c r="B1994" s="543"/>
      <c r="C1994" s="556" t="s">
        <v>529</v>
      </c>
      <c r="D1994" s="527" t="s">
        <v>540</v>
      </c>
      <c r="E1994" s="561">
        <v>6500000</v>
      </c>
      <c r="F1994" s="540">
        <f t="shared" ref="F1994:G1994" si="1372">E1994*1.1</f>
        <v>7150000.0000000009</v>
      </c>
      <c r="G1994" s="540">
        <f t="shared" si="1372"/>
        <v>7865000.0000000019</v>
      </c>
      <c r="H1994" s="132"/>
    </row>
    <row r="1995" spans="1:8" s="296" customFormat="1" ht="15.75" outlineLevel="2">
      <c r="A1995" s="543"/>
      <c r="B1995" s="543"/>
      <c r="C1995" s="556" t="s">
        <v>529</v>
      </c>
      <c r="D1995" s="527" t="s">
        <v>541</v>
      </c>
      <c r="E1995" s="561">
        <v>6685714.2857142901</v>
      </c>
      <c r="F1995" s="540">
        <f t="shared" ref="F1995:G1995" si="1373">E1995*1.1</f>
        <v>7354285.7142857201</v>
      </c>
      <c r="G1995" s="540">
        <f t="shared" si="1373"/>
        <v>8089714.2857142929</v>
      </c>
      <c r="H1995" s="132"/>
    </row>
    <row r="1996" spans="1:8" s="296" customFormat="1" ht="15.75" outlineLevel="2">
      <c r="A1996" s="543"/>
      <c r="B1996" s="543"/>
      <c r="C1996" s="556" t="s">
        <v>529</v>
      </c>
      <c r="D1996" s="527" t="s">
        <v>542</v>
      </c>
      <c r="E1996" s="561">
        <v>6685714.2857142901</v>
      </c>
      <c r="F1996" s="540">
        <f t="shared" ref="F1996:G1996" si="1374">E1996*1.1</f>
        <v>7354285.7142857201</v>
      </c>
      <c r="G1996" s="540">
        <f t="shared" si="1374"/>
        <v>8089714.2857142929</v>
      </c>
      <c r="H1996" s="132"/>
    </row>
    <row r="1997" spans="1:8" s="296" customFormat="1" ht="15.75" outlineLevel="2">
      <c r="A1997" s="543"/>
      <c r="B1997" s="543"/>
      <c r="C1997" s="556" t="s">
        <v>529</v>
      </c>
      <c r="D1997" s="527" t="s">
        <v>543</v>
      </c>
      <c r="E1997" s="561">
        <f>11314285.7142857-1300000</f>
        <v>10014285.7142857</v>
      </c>
      <c r="F1997" s="540">
        <f t="shared" ref="F1997:G1997" si="1375">E1997*1.1</f>
        <v>11015714.285714271</v>
      </c>
      <c r="G1997" s="540">
        <f t="shared" si="1375"/>
        <v>12117285.714285698</v>
      </c>
      <c r="H1997" s="132"/>
    </row>
    <row r="1998" spans="1:8" s="296" customFormat="1" ht="15.75" outlineLevel="2">
      <c r="A1998" s="543"/>
      <c r="B1998" s="543"/>
      <c r="C1998" s="556" t="s">
        <v>529</v>
      </c>
      <c r="D1998" s="527" t="s">
        <v>544</v>
      </c>
      <c r="E1998" s="561">
        <v>6500000</v>
      </c>
      <c r="F1998" s="540">
        <f t="shared" ref="F1998:G1998" si="1376">E1998*1.1</f>
        <v>7150000.0000000009</v>
      </c>
      <c r="G1998" s="540">
        <f t="shared" si="1376"/>
        <v>7865000.0000000019</v>
      </c>
      <c r="H1998" s="132"/>
    </row>
    <row r="1999" spans="1:8" s="296" customFormat="1" ht="15.75" outlineLevel="2">
      <c r="A1999" s="543"/>
      <c r="B1999" s="543"/>
      <c r="C1999" s="556" t="s">
        <v>529</v>
      </c>
      <c r="D1999" s="527" t="s">
        <v>545</v>
      </c>
      <c r="E1999" s="561">
        <v>6500000</v>
      </c>
      <c r="F1999" s="540">
        <f t="shared" ref="F1999:G1999" si="1377">E1999*1.1</f>
        <v>7150000.0000000009</v>
      </c>
      <c r="G1999" s="540">
        <f t="shared" si="1377"/>
        <v>7865000.0000000019</v>
      </c>
      <c r="H1999" s="132"/>
    </row>
    <row r="2000" spans="1:8" s="296" customFormat="1" ht="15.75" outlineLevel="2">
      <c r="A2000" s="543"/>
      <c r="B2000" s="543"/>
      <c r="C2000" s="556" t="s">
        <v>529</v>
      </c>
      <c r="D2000" s="527" t="s">
        <v>546</v>
      </c>
      <c r="E2000" s="561">
        <v>42489657</v>
      </c>
      <c r="F2000" s="540">
        <f t="shared" ref="F2000:G2000" si="1378">E2000*1.1</f>
        <v>46738622.700000003</v>
      </c>
      <c r="G2000" s="540">
        <f t="shared" si="1378"/>
        <v>51412484.970000006</v>
      </c>
      <c r="H2000" s="132"/>
    </row>
    <row r="2001" spans="1:8" s="296" customFormat="1" ht="15.75" outlineLevel="1">
      <c r="A2001" s="543"/>
      <c r="B2001" s="543"/>
      <c r="C2001" s="556"/>
      <c r="D2001" s="527"/>
      <c r="E2001" s="561"/>
      <c r="F2001" s="540">
        <f t="shared" ref="F2001:G2001" si="1379">E2001*1.1</f>
        <v>0</v>
      </c>
      <c r="G2001" s="540">
        <f t="shared" si="1379"/>
        <v>0</v>
      </c>
      <c r="H2001" s="132"/>
    </row>
    <row r="2002" spans="1:8" s="296" customFormat="1" ht="15.75" outlineLevel="1">
      <c r="A2002" s="556" t="s">
        <v>547</v>
      </c>
      <c r="B2002" s="543" t="s">
        <v>98</v>
      </c>
      <c r="C2002" s="546" t="s">
        <v>548</v>
      </c>
      <c r="D2002" s="562"/>
      <c r="E2002" s="561"/>
      <c r="F2002" s="540">
        <f t="shared" ref="F2002:G2002" si="1380">E2002*1.1</f>
        <v>0</v>
      </c>
      <c r="G2002" s="540">
        <f t="shared" si="1380"/>
        <v>0</v>
      </c>
      <c r="H2002" s="132"/>
    </row>
    <row r="2003" spans="1:8" s="296" customFormat="1" ht="15.75" outlineLevel="2">
      <c r="A2003" s="543"/>
      <c r="B2003" s="543"/>
      <c r="C2003" s="551">
        <v>2640499</v>
      </c>
      <c r="D2003" s="562" t="s">
        <v>549</v>
      </c>
      <c r="E2003" s="555">
        <v>5638750</v>
      </c>
      <c r="F2003" s="540">
        <f t="shared" ref="F2003:G2003" si="1381">E2003*1.1</f>
        <v>6202625.0000000009</v>
      </c>
      <c r="G2003" s="540">
        <f t="shared" si="1381"/>
        <v>6822887.5000000019</v>
      </c>
      <c r="H2003" s="132"/>
    </row>
    <row r="2004" spans="1:8" s="296" customFormat="1" ht="15.75" outlineLevel="1">
      <c r="A2004" s="543"/>
      <c r="B2004" s="543"/>
      <c r="C2004" s="546" t="s">
        <v>550</v>
      </c>
      <c r="D2004" s="562"/>
      <c r="E2004" s="554">
        <f>E2003</f>
        <v>5638750</v>
      </c>
      <c r="F2004" s="540">
        <f t="shared" ref="F2004:G2004" si="1382">E2004*1.1</f>
        <v>6202625.0000000009</v>
      </c>
      <c r="G2004" s="540">
        <f t="shared" si="1382"/>
        <v>6822887.5000000019</v>
      </c>
      <c r="H2004" s="132"/>
    </row>
    <row r="2005" spans="1:8" s="296" customFormat="1" ht="15.75" outlineLevel="1">
      <c r="A2005" s="543"/>
      <c r="B2005" s="543"/>
      <c r="C2005" s="556"/>
      <c r="D2005" s="527"/>
      <c r="E2005" s="561"/>
      <c r="F2005" s="540">
        <f t="shared" ref="F2005:G2005" si="1383">E2005*1.1</f>
        <v>0</v>
      </c>
      <c r="G2005" s="540">
        <f t="shared" si="1383"/>
        <v>0</v>
      </c>
      <c r="H2005" s="132"/>
    </row>
    <row r="2006" spans="1:8" s="296" customFormat="1" ht="15.75" outlineLevel="1">
      <c r="A2006" s="556" t="s">
        <v>547</v>
      </c>
      <c r="B2006" s="543" t="s">
        <v>98</v>
      </c>
      <c r="C2006" s="539" t="s">
        <v>551</v>
      </c>
      <c r="D2006" s="527"/>
      <c r="E2006" s="561"/>
      <c r="F2006" s="540">
        <f t="shared" ref="F2006:G2006" si="1384">E2006*1.1</f>
        <v>0</v>
      </c>
      <c r="G2006" s="540">
        <f t="shared" si="1384"/>
        <v>0</v>
      </c>
      <c r="H2006" s="132"/>
    </row>
    <row r="2007" spans="1:8" s="296" customFormat="1" ht="30" outlineLevel="2">
      <c r="A2007" s="543"/>
      <c r="B2007" s="543"/>
      <c r="C2007" s="551">
        <v>2640503</v>
      </c>
      <c r="D2007" s="326" t="s">
        <v>552</v>
      </c>
      <c r="E2007" s="555">
        <v>44384444</v>
      </c>
      <c r="F2007" s="540">
        <f t="shared" ref="F2007:G2007" si="1385">E2007*1.1</f>
        <v>48822888.400000006</v>
      </c>
      <c r="G2007" s="540">
        <f t="shared" si="1385"/>
        <v>53705177.24000001</v>
      </c>
      <c r="H2007" s="132"/>
    </row>
    <row r="2008" spans="1:8" s="296" customFormat="1" ht="15.75" outlineLevel="2">
      <c r="A2008" s="543"/>
      <c r="B2008" s="543"/>
      <c r="C2008" s="551">
        <v>2640503</v>
      </c>
      <c r="D2008" s="326" t="s">
        <v>553</v>
      </c>
      <c r="E2008" s="555">
        <v>25110000</v>
      </c>
      <c r="F2008" s="540">
        <f t="shared" ref="F2008:G2008" si="1386">E2008*1.1</f>
        <v>27621000.000000004</v>
      </c>
      <c r="G2008" s="540">
        <f t="shared" si="1386"/>
        <v>30383100.000000007</v>
      </c>
      <c r="H2008" s="132"/>
    </row>
    <row r="2009" spans="1:8" s="296" customFormat="1" ht="15.75" outlineLevel="1">
      <c r="A2009" s="543"/>
      <c r="B2009" s="543"/>
      <c r="C2009" s="546" t="s">
        <v>554</v>
      </c>
      <c r="D2009" s="563"/>
      <c r="E2009" s="564">
        <f>E2007+E2008</f>
        <v>69494444</v>
      </c>
      <c r="F2009" s="540">
        <f t="shared" ref="F2009:G2009" si="1387">E2009*1.1</f>
        <v>76443888.400000006</v>
      </c>
      <c r="G2009" s="540">
        <f t="shared" si="1387"/>
        <v>84088277.24000001</v>
      </c>
      <c r="H2009" s="132"/>
    </row>
    <row r="2010" spans="1:8" s="296" customFormat="1" ht="15.75" outlineLevel="1">
      <c r="A2010" s="543"/>
      <c r="B2010" s="543"/>
      <c r="C2010" s="556"/>
      <c r="D2010" s="527"/>
      <c r="E2010" s="561"/>
      <c r="F2010" s="540">
        <f t="shared" ref="F2010:G2010" si="1388">E2010*1.1</f>
        <v>0</v>
      </c>
      <c r="G2010" s="540">
        <f t="shared" si="1388"/>
        <v>0</v>
      </c>
      <c r="H2010" s="132"/>
    </row>
    <row r="2011" spans="1:8" s="296" customFormat="1" ht="15.75" outlineLevel="1">
      <c r="A2011" s="543"/>
      <c r="B2011" s="543"/>
      <c r="C2011" s="546" t="s">
        <v>555</v>
      </c>
      <c r="D2011" s="547"/>
      <c r="E2011" s="549">
        <f>E2004+E1983+E1979+E1963+E1946+E1937</f>
        <v>1511099970.4625714</v>
      </c>
      <c r="F2011" s="540">
        <f t="shared" ref="F2011:G2011" si="1389">E2011*1.1</f>
        <v>1662209967.5088286</v>
      </c>
      <c r="G2011" s="540">
        <f t="shared" si="1389"/>
        <v>1828430964.2597117</v>
      </c>
      <c r="H2011" s="132"/>
    </row>
    <row r="2012" spans="1:8" s="296" customFormat="1" ht="15.75" outlineLevel="1">
      <c r="A2012" s="543"/>
      <c r="B2012" s="543"/>
      <c r="C2012" s="546" t="s">
        <v>556</v>
      </c>
      <c r="D2012" s="563"/>
      <c r="E2012" s="549">
        <f>E2009+E1969</f>
        <v>229494444</v>
      </c>
      <c r="F2012" s="540">
        <f t="shared" ref="F2012:G2012" si="1390">E2012*1.1</f>
        <v>252443888.40000001</v>
      </c>
      <c r="G2012" s="540">
        <f t="shared" si="1390"/>
        <v>277688277.24000001</v>
      </c>
      <c r="H2012" s="132"/>
    </row>
    <row r="2013" spans="1:8" s="296" customFormat="1" ht="15.75" outlineLevel="1">
      <c r="A2013" s="543"/>
      <c r="B2013" s="556"/>
      <c r="C2013" s="543" t="s">
        <v>557</v>
      </c>
      <c r="D2013" s="548"/>
      <c r="E2013" s="521">
        <f>E2012+E2011</f>
        <v>1740594414.4625714</v>
      </c>
      <c r="F2013" s="540">
        <f t="shared" ref="F2013:G2013" si="1391">E2013*1.1</f>
        <v>1914653855.9088287</v>
      </c>
      <c r="G2013" s="540">
        <f t="shared" si="1391"/>
        <v>2106119241.4997118</v>
      </c>
      <c r="H2013" s="132"/>
    </row>
    <row r="2014" spans="1:8" s="296" customFormat="1" ht="15.75" outlineLevel="1">
      <c r="A2014" s="543"/>
      <c r="B2014" s="556"/>
      <c r="C2014" s="543"/>
      <c r="D2014" s="548"/>
      <c r="E2014" s="491">
        <v>0</v>
      </c>
      <c r="F2014" s="540">
        <f t="shared" ref="F2014:G2014" si="1392">E2014*1.1</f>
        <v>0</v>
      </c>
      <c r="G2014" s="540">
        <f t="shared" si="1392"/>
        <v>0</v>
      </c>
      <c r="H2014" s="132"/>
    </row>
    <row r="2015" spans="1:8" s="296" customFormat="1" ht="15.75" outlineLevel="1">
      <c r="A2015" s="543"/>
      <c r="B2015" s="543"/>
      <c r="C2015" s="546" t="s">
        <v>558</v>
      </c>
      <c r="D2015" s="547"/>
      <c r="E2015" s="491">
        <v>0</v>
      </c>
      <c r="F2015" s="540">
        <f t="shared" ref="F2015:G2015" si="1393">E2015*1.1</f>
        <v>0</v>
      </c>
      <c r="G2015" s="540">
        <f t="shared" si="1393"/>
        <v>0</v>
      </c>
      <c r="H2015" s="132"/>
    </row>
    <row r="2016" spans="1:8" s="296" customFormat="1" ht="15.75" outlineLevel="1">
      <c r="A2016" s="556" t="s">
        <v>430</v>
      </c>
      <c r="B2016" s="543" t="s">
        <v>98</v>
      </c>
      <c r="C2016" s="543" t="s">
        <v>559</v>
      </c>
      <c r="D2016" s="547"/>
      <c r="E2016" s="491">
        <v>0</v>
      </c>
      <c r="F2016" s="540">
        <f t="shared" ref="F2016:G2016" si="1394">E2016*1.1</f>
        <v>0</v>
      </c>
      <c r="G2016" s="540">
        <f t="shared" si="1394"/>
        <v>0</v>
      </c>
      <c r="H2016" s="132"/>
    </row>
    <row r="2017" spans="1:8" s="296" customFormat="1" ht="15.75" outlineLevel="1">
      <c r="A2017" s="543"/>
      <c r="B2017" s="543"/>
      <c r="C2017" s="556" t="s">
        <v>560</v>
      </c>
      <c r="D2017" s="548"/>
      <c r="E2017" s="491">
        <v>0</v>
      </c>
      <c r="F2017" s="540">
        <f t="shared" ref="F2017:G2017" si="1395">E2017*1.1</f>
        <v>0</v>
      </c>
      <c r="G2017" s="540">
        <f t="shared" si="1395"/>
        <v>0</v>
      </c>
      <c r="H2017" s="132"/>
    </row>
    <row r="2018" spans="1:8" s="296" customFormat="1" ht="15.75" outlineLevel="3">
      <c r="A2018" s="543"/>
      <c r="B2018" s="543"/>
      <c r="C2018" s="546">
        <v>2110100</v>
      </c>
      <c r="D2018" s="548" t="s">
        <v>13</v>
      </c>
      <c r="E2018" s="554">
        <f>E2019</f>
        <v>1046544163</v>
      </c>
      <c r="F2018" s="540">
        <f t="shared" ref="F2018:G2018" si="1396">E2018*1.1</f>
        <v>1151198579.3000002</v>
      </c>
      <c r="G2018" s="540">
        <f t="shared" si="1396"/>
        <v>1266318437.2300003</v>
      </c>
      <c r="H2018" s="132"/>
    </row>
    <row r="2019" spans="1:8" s="296" customFormat="1" ht="15.75" outlineLevel="3">
      <c r="A2019" s="550"/>
      <c r="B2019" s="550"/>
      <c r="C2019" s="551">
        <v>2110101</v>
      </c>
      <c r="D2019" s="552" t="s">
        <v>14</v>
      </c>
      <c r="E2019" s="555">
        <v>1046544163</v>
      </c>
      <c r="F2019" s="540">
        <f t="shared" ref="F2019:G2019" si="1397">E2019*1.1</f>
        <v>1151198579.3000002</v>
      </c>
      <c r="G2019" s="540">
        <f t="shared" si="1397"/>
        <v>1266318437.2300003</v>
      </c>
      <c r="H2019" s="132"/>
    </row>
    <row r="2020" spans="1:8" s="296" customFormat="1" ht="15.75" outlineLevel="3">
      <c r="A2020" s="543"/>
      <c r="B2020" s="543"/>
      <c r="C2020" s="546">
        <v>2110200</v>
      </c>
      <c r="D2020" s="548" t="s">
        <v>155</v>
      </c>
      <c r="E2020" s="554">
        <f>E2021</f>
        <v>88920000</v>
      </c>
      <c r="F2020" s="540">
        <f t="shared" ref="F2020:G2020" si="1398">E2020*1.1</f>
        <v>97812000.000000015</v>
      </c>
      <c r="G2020" s="540">
        <f t="shared" si="1398"/>
        <v>107593200.00000003</v>
      </c>
      <c r="H2020" s="132"/>
    </row>
    <row r="2021" spans="1:8" s="296" customFormat="1" ht="45" outlineLevel="3">
      <c r="A2021" s="550"/>
      <c r="B2021" s="550"/>
      <c r="C2021" s="551">
        <v>2110202</v>
      </c>
      <c r="D2021" s="552" t="s">
        <v>561</v>
      </c>
      <c r="E2021" s="555">
        <v>88920000</v>
      </c>
      <c r="F2021" s="540">
        <f t="shared" ref="F2021:G2021" si="1399">E2021*1.1</f>
        <v>97812000.000000015</v>
      </c>
      <c r="G2021" s="540">
        <f t="shared" si="1399"/>
        <v>107593200.00000003</v>
      </c>
      <c r="H2021" s="132"/>
    </row>
    <row r="2022" spans="1:8" s="296" customFormat="1" ht="15.75" outlineLevel="3">
      <c r="A2022" s="543"/>
      <c r="B2022" s="543"/>
      <c r="C2022" s="546">
        <v>2210200</v>
      </c>
      <c r="D2022" s="548" t="s">
        <v>19</v>
      </c>
      <c r="E2022" s="554">
        <f>E2023+E2024</f>
        <v>123397.84200000002</v>
      </c>
      <c r="F2022" s="540">
        <f t="shared" ref="F2022:G2022" si="1400">E2022*1.1</f>
        <v>135737.62620000003</v>
      </c>
      <c r="G2022" s="540">
        <f t="shared" si="1400"/>
        <v>149311.38882000005</v>
      </c>
      <c r="H2022" s="132"/>
    </row>
    <row r="2023" spans="1:8" s="296" customFormat="1" ht="15.75" outlineLevel="3">
      <c r="A2023" s="550"/>
      <c r="B2023" s="550"/>
      <c r="C2023" s="551">
        <v>2210201</v>
      </c>
      <c r="D2023" s="552" t="s">
        <v>236</v>
      </c>
      <c r="E2023" s="555">
        <v>115910.1</v>
      </c>
      <c r="F2023" s="540">
        <f t="shared" ref="F2023:G2023" si="1401">E2023*1.1</f>
        <v>127501.11000000002</v>
      </c>
      <c r="G2023" s="540">
        <f t="shared" si="1401"/>
        <v>140251.22100000002</v>
      </c>
      <c r="H2023" s="132"/>
    </row>
    <row r="2024" spans="1:8" s="296" customFormat="1" ht="15.75" outlineLevel="3">
      <c r="A2024" s="550"/>
      <c r="B2024" s="550"/>
      <c r="C2024" s="551">
        <v>2210202</v>
      </c>
      <c r="D2024" s="552" t="s">
        <v>21</v>
      </c>
      <c r="E2024" s="555">
        <v>7487.7420000000102</v>
      </c>
      <c r="F2024" s="540">
        <f t="shared" ref="F2024:G2024" si="1402">E2024*1.1</f>
        <v>8236.5162000000128</v>
      </c>
      <c r="G2024" s="540">
        <f t="shared" si="1402"/>
        <v>9060.1678200000151</v>
      </c>
      <c r="H2024" s="132"/>
    </row>
    <row r="2025" spans="1:8" s="296" customFormat="1" ht="30" outlineLevel="3">
      <c r="A2025" s="543"/>
      <c r="B2025" s="543"/>
      <c r="C2025" s="546">
        <v>2210300</v>
      </c>
      <c r="D2025" s="548" t="s">
        <v>23</v>
      </c>
      <c r="E2025" s="554">
        <f>E2026</f>
        <v>1467891</v>
      </c>
      <c r="F2025" s="540">
        <f t="shared" ref="F2025:G2025" si="1403">E2025*1.1</f>
        <v>1614680.1</v>
      </c>
      <c r="G2025" s="540">
        <f t="shared" si="1403"/>
        <v>1776148.1100000003</v>
      </c>
      <c r="H2025" s="132"/>
    </row>
    <row r="2026" spans="1:8" s="296" customFormat="1" ht="15.75" outlineLevel="3">
      <c r="A2026" s="543"/>
      <c r="B2026" s="543"/>
      <c r="C2026" s="551">
        <v>2210303</v>
      </c>
      <c r="D2026" s="552" t="s">
        <v>259</v>
      </c>
      <c r="E2026" s="555">
        <f>537106+930785</f>
        <v>1467891</v>
      </c>
      <c r="F2026" s="540">
        <f t="shared" ref="F2026:G2026" si="1404">E2026*1.1</f>
        <v>1614680.1</v>
      </c>
      <c r="G2026" s="540">
        <f t="shared" si="1404"/>
        <v>1776148.1100000003</v>
      </c>
      <c r="H2026" s="132"/>
    </row>
    <row r="2027" spans="1:8" s="296" customFormat="1" ht="30" outlineLevel="3">
      <c r="A2027" s="550"/>
      <c r="B2027" s="550"/>
      <c r="C2027" s="546">
        <v>2210400</v>
      </c>
      <c r="D2027" s="548" t="s">
        <v>209</v>
      </c>
      <c r="E2027" s="554">
        <f>E2028+E2029</f>
        <v>480000</v>
      </c>
      <c r="F2027" s="540">
        <f t="shared" ref="F2027:G2027" si="1405">E2027*1.1</f>
        <v>528000</v>
      </c>
      <c r="G2027" s="540">
        <f t="shared" si="1405"/>
        <v>580800</v>
      </c>
      <c r="H2027" s="132"/>
    </row>
    <row r="2028" spans="1:8" s="296" customFormat="1" ht="15.75" outlineLevel="3">
      <c r="A2028" s="550"/>
      <c r="B2028" s="550"/>
      <c r="C2028" s="551">
        <v>2210403</v>
      </c>
      <c r="D2028" s="552" t="s">
        <v>259</v>
      </c>
      <c r="E2028" s="555">
        <v>390000</v>
      </c>
      <c r="F2028" s="540">
        <f t="shared" ref="F2028:G2028" si="1406">E2028*1.1</f>
        <v>429000.00000000006</v>
      </c>
      <c r="G2028" s="540">
        <f t="shared" si="1406"/>
        <v>471900.00000000012</v>
      </c>
      <c r="H2028" s="132"/>
    </row>
    <row r="2029" spans="1:8" s="296" customFormat="1" ht="15.75" outlineLevel="3">
      <c r="A2029" s="543"/>
      <c r="B2029" s="543"/>
      <c r="C2029" s="551">
        <v>2210404</v>
      </c>
      <c r="D2029" s="552" t="s">
        <v>27</v>
      </c>
      <c r="E2029" s="555">
        <v>90000</v>
      </c>
      <c r="F2029" s="540">
        <f t="shared" ref="F2029:G2029" si="1407">E2029*1.1</f>
        <v>99000.000000000015</v>
      </c>
      <c r="G2029" s="540">
        <f t="shared" si="1407"/>
        <v>108900.00000000003</v>
      </c>
      <c r="H2029" s="132"/>
    </row>
    <row r="2030" spans="1:8" s="296" customFormat="1" ht="15.75" outlineLevel="3">
      <c r="A2030" s="550"/>
      <c r="B2030" s="550"/>
      <c r="C2030" s="546">
        <v>2210500</v>
      </c>
      <c r="D2030" s="548" t="s">
        <v>30</v>
      </c>
      <c r="E2030" s="554">
        <f>E2031+E2032</f>
        <v>1150000</v>
      </c>
      <c r="F2030" s="540">
        <f t="shared" ref="F2030:G2030" si="1408">E2030*1.1</f>
        <v>1265000</v>
      </c>
      <c r="G2030" s="540">
        <f t="shared" si="1408"/>
        <v>1391500</v>
      </c>
      <c r="H2030" s="132"/>
    </row>
    <row r="2031" spans="1:8" s="296" customFormat="1" ht="15.75" outlineLevel="3">
      <c r="A2031" s="543"/>
      <c r="B2031" s="543"/>
      <c r="C2031" s="551">
        <v>2210502</v>
      </c>
      <c r="D2031" s="552" t="s">
        <v>502</v>
      </c>
      <c r="E2031" s="555">
        <v>116000</v>
      </c>
      <c r="F2031" s="540">
        <f t="shared" ref="F2031:G2031" si="1409">E2031*1.1</f>
        <v>127600.00000000001</v>
      </c>
      <c r="G2031" s="540">
        <f t="shared" si="1409"/>
        <v>140360.00000000003</v>
      </c>
      <c r="H2031" s="132"/>
    </row>
    <row r="2032" spans="1:8" s="296" customFormat="1" ht="30" outlineLevel="3">
      <c r="A2032" s="550"/>
      <c r="B2032" s="550"/>
      <c r="C2032" s="551">
        <v>2210504</v>
      </c>
      <c r="D2032" s="552" t="s">
        <v>562</v>
      </c>
      <c r="E2032" s="555">
        <f>1384000-350000</f>
        <v>1034000</v>
      </c>
      <c r="F2032" s="540">
        <f t="shared" ref="F2032:G2032" si="1410">E2032*1.1</f>
        <v>1137400</v>
      </c>
      <c r="G2032" s="540">
        <f t="shared" si="1410"/>
        <v>1251140</v>
      </c>
      <c r="H2032" s="132"/>
    </row>
    <row r="2033" spans="1:8" s="296" customFormat="1" ht="15.75" outlineLevel="3">
      <c r="A2033" s="550"/>
      <c r="B2033" s="550"/>
      <c r="C2033" s="546">
        <v>2210700</v>
      </c>
      <c r="D2033" s="548" t="s">
        <v>34</v>
      </c>
      <c r="E2033" s="554">
        <f>SUM(E2034:E2038)</f>
        <v>1350000</v>
      </c>
      <c r="F2033" s="540">
        <f t="shared" ref="F2033:G2033" si="1411">E2033*1.1</f>
        <v>1485000.0000000002</v>
      </c>
      <c r="G2033" s="540">
        <f t="shared" si="1411"/>
        <v>1633500.0000000005</v>
      </c>
      <c r="H2033" s="132"/>
    </row>
    <row r="2034" spans="1:8" s="296" customFormat="1" ht="15.75" outlineLevel="3">
      <c r="A2034" s="550"/>
      <c r="B2034" s="550"/>
      <c r="C2034" s="551">
        <v>2210710</v>
      </c>
      <c r="D2034" s="552" t="s">
        <v>38</v>
      </c>
      <c r="E2034" s="555">
        <v>287000</v>
      </c>
      <c r="F2034" s="540">
        <f t="shared" ref="F2034:G2034" si="1412">E2034*1.1</f>
        <v>315700</v>
      </c>
      <c r="G2034" s="540">
        <f t="shared" si="1412"/>
        <v>347270</v>
      </c>
      <c r="H2034" s="132"/>
    </row>
    <row r="2035" spans="1:8" s="296" customFormat="1" ht="15.75" outlineLevel="3">
      <c r="A2035" s="550"/>
      <c r="B2035" s="550"/>
      <c r="C2035" s="551">
        <v>2210711</v>
      </c>
      <c r="D2035" s="552" t="s">
        <v>505</v>
      </c>
      <c r="E2035" s="555">
        <v>116000</v>
      </c>
      <c r="F2035" s="540">
        <f t="shared" ref="F2035:G2035" si="1413">E2035*1.1</f>
        <v>127600.00000000001</v>
      </c>
      <c r="G2035" s="540">
        <f t="shared" si="1413"/>
        <v>140360.00000000003</v>
      </c>
      <c r="H2035" s="132"/>
    </row>
    <row r="2036" spans="1:8" s="296" customFormat="1" ht="15.75" outlineLevel="3">
      <c r="A2036" s="550"/>
      <c r="B2036" s="550"/>
      <c r="C2036" s="551">
        <v>2210712</v>
      </c>
      <c r="D2036" s="552" t="s">
        <v>417</v>
      </c>
      <c r="E2036" s="555">
        <v>170226</v>
      </c>
      <c r="F2036" s="540">
        <f t="shared" ref="F2036:G2036" si="1414">E2036*1.1</f>
        <v>187248.6</v>
      </c>
      <c r="G2036" s="540">
        <f t="shared" si="1414"/>
        <v>205973.46000000002</v>
      </c>
      <c r="H2036" s="132"/>
    </row>
    <row r="2037" spans="1:8" s="296" customFormat="1" ht="15.75" outlineLevel="3">
      <c r="A2037" s="543"/>
      <c r="B2037" s="543"/>
      <c r="C2037" s="551">
        <v>2210715</v>
      </c>
      <c r="D2037" s="552" t="s">
        <v>39</v>
      </c>
      <c r="E2037" s="555">
        <f>464000+175774+200000-150000</f>
        <v>689774</v>
      </c>
      <c r="F2037" s="540">
        <f t="shared" ref="F2037:G2037" si="1415">E2037*1.1</f>
        <v>758751.4</v>
      </c>
      <c r="G2037" s="540">
        <f t="shared" si="1415"/>
        <v>834626.54</v>
      </c>
      <c r="H2037" s="132"/>
    </row>
    <row r="2038" spans="1:8" s="296" customFormat="1" ht="15.75" outlineLevel="3">
      <c r="A2038" s="550"/>
      <c r="B2038" s="550"/>
      <c r="C2038" s="551">
        <v>2210799</v>
      </c>
      <c r="D2038" s="552" t="s">
        <v>506</v>
      </c>
      <c r="E2038" s="555">
        <v>87000</v>
      </c>
      <c r="F2038" s="540">
        <f t="shared" ref="F2038:G2038" si="1416">E2038*1.1</f>
        <v>95700.000000000015</v>
      </c>
      <c r="G2038" s="540">
        <f t="shared" si="1416"/>
        <v>105270.00000000003</v>
      </c>
      <c r="H2038" s="132"/>
    </row>
    <row r="2039" spans="1:8" s="296" customFormat="1" ht="15.75" outlineLevel="3">
      <c r="A2039" s="543"/>
      <c r="B2039" s="543"/>
      <c r="C2039" s="546">
        <v>2210800</v>
      </c>
      <c r="D2039" s="548" t="s">
        <v>41</v>
      </c>
      <c r="E2039" s="554">
        <f>E2040</f>
        <v>592831</v>
      </c>
      <c r="F2039" s="540">
        <f t="shared" ref="F2039:G2039" si="1417">E2039*1.1</f>
        <v>652114.10000000009</v>
      </c>
      <c r="G2039" s="540">
        <f t="shared" si="1417"/>
        <v>717325.51000000013</v>
      </c>
      <c r="H2039" s="132"/>
    </row>
    <row r="2040" spans="1:8" s="296" customFormat="1" ht="30" outlineLevel="3">
      <c r="A2040" s="543"/>
      <c r="B2040" s="543"/>
      <c r="C2040" s="551">
        <v>2210803</v>
      </c>
      <c r="D2040" s="552" t="s">
        <v>563</v>
      </c>
      <c r="E2040" s="555">
        <f>892831-300000</f>
        <v>592831</v>
      </c>
      <c r="F2040" s="540">
        <f t="shared" ref="F2040:G2040" si="1418">E2040*1.1</f>
        <v>652114.10000000009</v>
      </c>
      <c r="G2040" s="540">
        <f t="shared" si="1418"/>
        <v>717325.51000000013</v>
      </c>
      <c r="H2040" s="132"/>
    </row>
    <row r="2041" spans="1:8" s="296" customFormat="1" ht="15.75" outlineLevel="3">
      <c r="A2041" s="543"/>
      <c r="B2041" s="543"/>
      <c r="C2041" s="546">
        <v>2211100</v>
      </c>
      <c r="D2041" s="548" t="s">
        <v>49</v>
      </c>
      <c r="E2041" s="554">
        <f>SUM(E2042:E2044)</f>
        <v>400000.24199999997</v>
      </c>
      <c r="F2041" s="540">
        <f t="shared" ref="F2041:G2041" si="1419">E2041*1.1</f>
        <v>440000.26620000001</v>
      </c>
      <c r="G2041" s="540">
        <f t="shared" si="1419"/>
        <v>484000.29282000003</v>
      </c>
      <c r="H2041" s="132"/>
    </row>
    <row r="2042" spans="1:8" s="296" customFormat="1" ht="30" outlineLevel="3">
      <c r="A2042" s="543"/>
      <c r="B2042" s="543"/>
      <c r="C2042" s="551">
        <v>2211101</v>
      </c>
      <c r="D2042" s="552" t="s">
        <v>50</v>
      </c>
      <c r="E2042" s="555">
        <v>138357.54</v>
      </c>
      <c r="F2042" s="540">
        <f t="shared" ref="F2042:G2042" si="1420">E2042*1.1</f>
        <v>152193.29400000002</v>
      </c>
      <c r="G2042" s="540">
        <f t="shared" si="1420"/>
        <v>167412.62340000004</v>
      </c>
      <c r="H2042" s="132"/>
    </row>
    <row r="2043" spans="1:8" s="296" customFormat="1" ht="15.75" outlineLevel="3">
      <c r="A2043" s="543"/>
      <c r="B2043" s="543"/>
      <c r="C2043" s="551">
        <v>2211102</v>
      </c>
      <c r="D2043" s="552" t="s">
        <v>51</v>
      </c>
      <c r="E2043" s="555">
        <v>228536.234</v>
      </c>
      <c r="F2043" s="540">
        <f t="shared" ref="F2043:G2043" si="1421">E2043*1.1</f>
        <v>251389.85740000001</v>
      </c>
      <c r="G2043" s="540">
        <f t="shared" si="1421"/>
        <v>276528.84314000001</v>
      </c>
      <c r="H2043" s="132"/>
    </row>
    <row r="2044" spans="1:8" s="296" customFormat="1" ht="15.75" outlineLevel="3">
      <c r="A2044" s="543"/>
      <c r="B2044" s="543"/>
      <c r="C2044" s="551">
        <v>2211103</v>
      </c>
      <c r="D2044" s="552" t="s">
        <v>508</v>
      </c>
      <c r="E2044" s="555">
        <f>31212.468+1894</f>
        <v>33106.468000000001</v>
      </c>
      <c r="F2044" s="540">
        <f t="shared" ref="F2044:G2044" si="1422">E2044*1.1</f>
        <v>36417.114800000003</v>
      </c>
      <c r="G2044" s="540">
        <f t="shared" si="1422"/>
        <v>40058.826280000008</v>
      </c>
      <c r="H2044" s="132"/>
    </row>
    <row r="2045" spans="1:8" s="296" customFormat="1" ht="15.75" outlineLevel="3">
      <c r="A2045" s="543"/>
      <c r="B2045" s="543"/>
      <c r="C2045" s="546">
        <v>2211200</v>
      </c>
      <c r="D2045" s="548" t="s">
        <v>53</v>
      </c>
      <c r="E2045" s="554">
        <f>E2046</f>
        <v>870000</v>
      </c>
      <c r="F2045" s="540">
        <f t="shared" ref="F2045:G2045" si="1423">E2045*1.1</f>
        <v>957000.00000000012</v>
      </c>
      <c r="G2045" s="540">
        <f t="shared" si="1423"/>
        <v>1052700.0000000002</v>
      </c>
      <c r="H2045" s="132"/>
    </row>
    <row r="2046" spans="1:8" s="296" customFormat="1" ht="15.75" outlineLevel="3">
      <c r="A2046" s="543"/>
      <c r="B2046" s="543"/>
      <c r="C2046" s="551">
        <v>2211201</v>
      </c>
      <c r="D2046" s="552" t="s">
        <v>91</v>
      </c>
      <c r="E2046" s="555">
        <v>870000</v>
      </c>
      <c r="F2046" s="540">
        <f t="shared" ref="F2046:G2046" si="1424">E2046*1.1</f>
        <v>957000.00000000012</v>
      </c>
      <c r="G2046" s="540">
        <f t="shared" si="1424"/>
        <v>1052700.0000000002</v>
      </c>
      <c r="H2046" s="132"/>
    </row>
    <row r="2047" spans="1:8" s="296" customFormat="1" ht="30" outlineLevel="3">
      <c r="A2047" s="543"/>
      <c r="B2047" s="543"/>
      <c r="C2047" s="546">
        <v>2220100</v>
      </c>
      <c r="D2047" s="548" t="s">
        <v>61</v>
      </c>
      <c r="E2047" s="554">
        <f>SUM(E2048:E2049)</f>
        <v>1694000</v>
      </c>
      <c r="F2047" s="540">
        <f t="shared" ref="F2047:G2047" si="1425">E2047*1.1</f>
        <v>1863400.0000000002</v>
      </c>
      <c r="G2047" s="540">
        <f t="shared" si="1425"/>
        <v>2049740.0000000005</v>
      </c>
      <c r="H2047" s="132"/>
    </row>
    <row r="2048" spans="1:8" s="296" customFormat="1" ht="15.75" outlineLevel="3">
      <c r="A2048" s="543"/>
      <c r="B2048" s="543"/>
      <c r="C2048" s="551">
        <v>2220101</v>
      </c>
      <c r="D2048" s="552" t="s">
        <v>564</v>
      </c>
      <c r="E2048" s="555">
        <f>1895392.8-274000-200000-300000</f>
        <v>1121392.8</v>
      </c>
      <c r="F2048" s="540">
        <f t="shared" ref="F2048:G2048" si="1426">E2048*1.1</f>
        <v>1233532.08</v>
      </c>
      <c r="G2048" s="540">
        <f t="shared" si="1426"/>
        <v>1356885.2880000002</v>
      </c>
      <c r="H2048" s="132"/>
    </row>
    <row r="2049" spans="1:8" s="296" customFormat="1" ht="15.75" outlineLevel="3">
      <c r="A2049" s="550"/>
      <c r="B2049" s="550"/>
      <c r="C2049" s="551">
        <v>2220105</v>
      </c>
      <c r="D2049" s="552" t="s">
        <v>93</v>
      </c>
      <c r="E2049" s="555">
        <f>472607.2+500000-400000</f>
        <v>572607.19999999995</v>
      </c>
      <c r="F2049" s="540">
        <f t="shared" ref="F2049:G2049" si="1427">E2049*1.1</f>
        <v>629867.92000000004</v>
      </c>
      <c r="G2049" s="540">
        <f t="shared" si="1427"/>
        <v>692854.71200000006</v>
      </c>
      <c r="H2049" s="132"/>
    </row>
    <row r="2050" spans="1:8" s="296" customFormat="1" ht="15.75" outlineLevel="3">
      <c r="A2050" s="550"/>
      <c r="B2050" s="550"/>
      <c r="C2050" s="546">
        <v>2220200</v>
      </c>
      <c r="D2050" s="548" t="s">
        <v>94</v>
      </c>
      <c r="E2050" s="554">
        <f>E2051</f>
        <v>105000</v>
      </c>
      <c r="F2050" s="540">
        <f t="shared" ref="F2050:G2050" si="1428">E2050*1.1</f>
        <v>115500.00000000001</v>
      </c>
      <c r="G2050" s="540">
        <f t="shared" si="1428"/>
        <v>127050.00000000003</v>
      </c>
      <c r="H2050" s="132"/>
    </row>
    <row r="2051" spans="1:8" s="296" customFormat="1" ht="15.75" outlineLevel="3">
      <c r="A2051" s="550"/>
      <c r="B2051" s="550"/>
      <c r="C2051" s="551">
        <v>2220205</v>
      </c>
      <c r="D2051" s="552" t="s">
        <v>180</v>
      </c>
      <c r="E2051" s="555">
        <v>105000</v>
      </c>
      <c r="F2051" s="540">
        <f t="shared" ref="F2051:G2051" si="1429">E2051*1.1</f>
        <v>115500.00000000001</v>
      </c>
      <c r="G2051" s="540">
        <f t="shared" si="1429"/>
        <v>127050.00000000003</v>
      </c>
      <c r="H2051" s="132"/>
    </row>
    <row r="2052" spans="1:8" s="296" customFormat="1" ht="15.75" outlineLevel="3">
      <c r="A2052" s="550"/>
      <c r="B2052" s="550"/>
      <c r="C2052" s="546">
        <v>3111000</v>
      </c>
      <c r="D2052" s="548" t="s">
        <v>65</v>
      </c>
      <c r="E2052" s="549">
        <f>E2053+E2054</f>
        <v>800000</v>
      </c>
      <c r="F2052" s="540">
        <f t="shared" ref="F2052:G2052" si="1430">E2052*1.1</f>
        <v>880000.00000000012</v>
      </c>
      <c r="G2052" s="540">
        <f t="shared" si="1430"/>
        <v>968000.00000000023</v>
      </c>
      <c r="H2052" s="132"/>
    </row>
    <row r="2053" spans="1:8" s="296" customFormat="1" ht="15.75" outlineLevel="3">
      <c r="A2053" s="543"/>
      <c r="B2053" s="543"/>
      <c r="C2053" s="551">
        <v>3111001</v>
      </c>
      <c r="D2053" s="552" t="s">
        <v>66</v>
      </c>
      <c r="E2053" s="553">
        <v>250000</v>
      </c>
      <c r="F2053" s="540">
        <f t="shared" ref="F2053:G2053" si="1431">E2053*1.1</f>
        <v>275000</v>
      </c>
      <c r="G2053" s="540">
        <f t="shared" si="1431"/>
        <v>302500</v>
      </c>
      <c r="H2053" s="132"/>
    </row>
    <row r="2054" spans="1:8" s="296" customFormat="1" ht="15.75" outlineLevel="3">
      <c r="A2054" s="550"/>
      <c r="B2054" s="550"/>
      <c r="C2054" s="551">
        <v>3111002</v>
      </c>
      <c r="D2054" s="552" t="s">
        <v>67</v>
      </c>
      <c r="E2054" s="553">
        <v>550000</v>
      </c>
      <c r="F2054" s="540">
        <f t="shared" ref="F2054:G2054" si="1432">E2054*1.1</f>
        <v>605000</v>
      </c>
      <c r="G2054" s="540">
        <f t="shared" si="1432"/>
        <v>665500</v>
      </c>
      <c r="H2054" s="132"/>
    </row>
    <row r="2055" spans="1:8" s="296" customFormat="1" ht="15.75" outlineLevel="2">
      <c r="A2055" s="543"/>
      <c r="B2055" s="543"/>
      <c r="C2055" s="546" t="s">
        <v>511</v>
      </c>
      <c r="D2055" s="548"/>
      <c r="E2055" s="521">
        <f>E2052+E2050+E2047+E2045+E2041+E2039+E2033+E2030+E2027+E2025+E2022+E2020+E2018</f>
        <v>1144497283.0840001</v>
      </c>
      <c r="F2055" s="540">
        <f t="shared" ref="F2055:G2055" si="1433">E2055*1.1</f>
        <v>1258947011.3924003</v>
      </c>
      <c r="G2055" s="540">
        <f t="shared" si="1433"/>
        <v>1384841712.5316403</v>
      </c>
      <c r="H2055" s="132"/>
    </row>
    <row r="2056" spans="1:8" s="296" customFormat="1" ht="15.75" outlineLevel="2">
      <c r="A2056" s="543"/>
      <c r="B2056" s="543"/>
      <c r="C2056" s="546"/>
      <c r="D2056" s="548"/>
      <c r="E2056" s="521"/>
      <c r="F2056" s="540">
        <f t="shared" ref="F2056:G2056" si="1434">E2056*1.1</f>
        <v>0</v>
      </c>
      <c r="G2056" s="540">
        <f t="shared" si="1434"/>
        <v>0</v>
      </c>
      <c r="H2056" s="132"/>
    </row>
    <row r="2057" spans="1:8" s="296" customFormat="1" ht="15.75" outlineLevel="2">
      <c r="A2057" s="382"/>
      <c r="B2057" s="382"/>
      <c r="C2057" s="546" t="s">
        <v>184</v>
      </c>
      <c r="D2057" s="548"/>
      <c r="E2057" s="559"/>
      <c r="F2057" s="540">
        <f t="shared" ref="F2057:G2057" si="1435">E2057*1.1</f>
        <v>0</v>
      </c>
      <c r="G2057" s="540">
        <f t="shared" si="1435"/>
        <v>0</v>
      </c>
      <c r="H2057" s="132"/>
    </row>
    <row r="2058" spans="1:8" s="296" customFormat="1" ht="15.75" outlineLevel="3">
      <c r="A2058" s="556" t="s">
        <v>430</v>
      </c>
      <c r="B2058" s="543" t="s">
        <v>98</v>
      </c>
      <c r="C2058" s="546">
        <v>2640400</v>
      </c>
      <c r="D2058" s="544" t="s">
        <v>528</v>
      </c>
      <c r="E2058" s="554">
        <f>E2059</f>
        <v>74100000</v>
      </c>
      <c r="F2058" s="540">
        <f t="shared" ref="F2058:G2058" si="1436">E2058*1.1</f>
        <v>81510000</v>
      </c>
      <c r="G2058" s="540">
        <f t="shared" si="1436"/>
        <v>89661000</v>
      </c>
      <c r="H2058" s="132"/>
    </row>
    <row r="2059" spans="1:8" s="296" customFormat="1" ht="15.75" outlineLevel="3">
      <c r="A2059" s="556"/>
      <c r="B2059" s="543"/>
      <c r="C2059" s="551">
        <v>2640499</v>
      </c>
      <c r="D2059" s="552" t="s">
        <v>565</v>
      </c>
      <c r="E2059" s="497">
        <v>74100000</v>
      </c>
      <c r="F2059" s="540">
        <f t="shared" ref="F2059:G2059" si="1437">E2059*1.1</f>
        <v>81510000</v>
      </c>
      <c r="G2059" s="540">
        <f t="shared" si="1437"/>
        <v>89661000</v>
      </c>
      <c r="H2059" s="132"/>
    </row>
    <row r="2060" spans="1:8" s="297" customFormat="1" ht="15.75" outlineLevel="3">
      <c r="A2060" s="556"/>
      <c r="B2060" s="543"/>
      <c r="C2060" s="546">
        <v>3110300</v>
      </c>
      <c r="D2060" s="548" t="s">
        <v>342</v>
      </c>
      <c r="E2060" s="554">
        <f>E2061</f>
        <v>4000000</v>
      </c>
      <c r="F2060" s="540">
        <f t="shared" ref="F2060:G2060" si="1438">E2060*1.1</f>
        <v>4400000</v>
      </c>
      <c r="G2060" s="540">
        <f t="shared" si="1438"/>
        <v>4840000</v>
      </c>
      <c r="H2060" s="132"/>
    </row>
    <row r="2061" spans="1:8" s="296" customFormat="1" ht="30" outlineLevel="3">
      <c r="A2061" s="556"/>
      <c r="B2061" s="543"/>
      <c r="C2061" s="551">
        <v>3110302</v>
      </c>
      <c r="D2061" s="494" t="s">
        <v>566</v>
      </c>
      <c r="E2061" s="497">
        <f>4000000</f>
        <v>4000000</v>
      </c>
      <c r="F2061" s="540">
        <f t="shared" ref="F2061:G2061" si="1439">E2061*1.1</f>
        <v>4400000</v>
      </c>
      <c r="G2061" s="540">
        <f t="shared" si="1439"/>
        <v>4840000</v>
      </c>
      <c r="H2061" s="132"/>
    </row>
    <row r="2062" spans="1:8" s="296" customFormat="1" ht="15.75" outlineLevel="3">
      <c r="A2062" s="556"/>
      <c r="B2062" s="543"/>
      <c r="C2062" s="546">
        <v>3111100</v>
      </c>
      <c r="D2062" s="548" t="s">
        <v>567</v>
      </c>
      <c r="E2062" s="554">
        <f>E2063</f>
        <v>15000000</v>
      </c>
      <c r="F2062" s="540">
        <f t="shared" ref="F2062:G2062" si="1440">E2062*1.1</f>
        <v>16500000.000000002</v>
      </c>
      <c r="G2062" s="540">
        <f t="shared" si="1440"/>
        <v>18150000.000000004</v>
      </c>
      <c r="H2062" s="132"/>
    </row>
    <row r="2063" spans="1:8" s="296" customFormat="1" ht="60" outlineLevel="3">
      <c r="A2063" s="556"/>
      <c r="B2063" s="543"/>
      <c r="C2063" s="551">
        <v>3111101</v>
      </c>
      <c r="D2063" s="557" t="s">
        <v>568</v>
      </c>
      <c r="E2063" s="555">
        <v>15000000</v>
      </c>
      <c r="F2063" s="540">
        <f t="shared" ref="F2063:G2063" si="1441">E2063*1.1</f>
        <v>16500000.000000002</v>
      </c>
      <c r="G2063" s="540">
        <f t="shared" si="1441"/>
        <v>18150000.000000004</v>
      </c>
      <c r="H2063" s="132"/>
    </row>
    <row r="2064" spans="1:8" s="296" customFormat="1" ht="15.75" outlineLevel="2">
      <c r="A2064" s="543"/>
      <c r="B2064" s="543"/>
      <c r="C2064" s="546" t="s">
        <v>569</v>
      </c>
      <c r="D2064" s="548"/>
      <c r="E2064" s="559">
        <f>E2058+E2060+E2062</f>
        <v>93100000</v>
      </c>
      <c r="F2064" s="540">
        <f t="shared" ref="F2064:G2064" si="1442">E2064*1.1</f>
        <v>102410000.00000001</v>
      </c>
      <c r="G2064" s="540">
        <f t="shared" si="1442"/>
        <v>112651000.00000003</v>
      </c>
      <c r="H2064" s="132"/>
    </row>
    <row r="2065" spans="1:8" s="296" customFormat="1" ht="15.75" outlineLevel="1">
      <c r="A2065" s="543"/>
      <c r="B2065" s="543"/>
      <c r="C2065" s="546"/>
      <c r="D2065" s="548" t="s">
        <v>80</v>
      </c>
      <c r="E2065" s="559">
        <f>E2064+E2055</f>
        <v>1237597283.0840001</v>
      </c>
      <c r="F2065" s="540">
        <f t="shared" ref="F2065:G2065" si="1443">E2065*1.1</f>
        <v>1361357011.3924003</v>
      </c>
      <c r="G2065" s="540">
        <f t="shared" si="1443"/>
        <v>1497492712.5316405</v>
      </c>
      <c r="H2065" s="132"/>
    </row>
    <row r="2066" spans="1:8" s="296" customFormat="1" ht="15.75" outlineLevel="1">
      <c r="A2066" s="543"/>
      <c r="B2066" s="543"/>
      <c r="C2066" s="546"/>
      <c r="D2066" s="548"/>
      <c r="E2066" s="559"/>
      <c r="F2066" s="540">
        <f t="shared" ref="F2066:G2066" si="1444">E2066*1.1</f>
        <v>0</v>
      </c>
      <c r="G2066" s="540">
        <f t="shared" si="1444"/>
        <v>0</v>
      </c>
      <c r="H2066" s="132"/>
    </row>
    <row r="2067" spans="1:8" s="296" customFormat="1" ht="15.75" outlineLevel="1">
      <c r="A2067" s="556" t="s">
        <v>430</v>
      </c>
      <c r="B2067" s="543" t="s">
        <v>98</v>
      </c>
      <c r="C2067" s="705" t="s">
        <v>570</v>
      </c>
      <c r="D2067" s="565"/>
      <c r="E2067" s="565"/>
      <c r="F2067" s="540">
        <f t="shared" ref="F2067:G2067" si="1445">E2067*1.1</f>
        <v>0</v>
      </c>
      <c r="G2067" s="540">
        <f t="shared" si="1445"/>
        <v>0</v>
      </c>
      <c r="H2067" s="132"/>
    </row>
    <row r="2068" spans="1:8" s="296" customFormat="1" ht="30" outlineLevel="3">
      <c r="A2068" s="543"/>
      <c r="B2068" s="543"/>
      <c r="C2068" s="546">
        <v>2210300</v>
      </c>
      <c r="D2068" s="548" t="s">
        <v>23</v>
      </c>
      <c r="E2068" s="549">
        <f>SUM(E2069:E2071)</f>
        <v>504100</v>
      </c>
      <c r="F2068" s="540">
        <f t="shared" ref="F2068:G2068" si="1446">E2068*1.1</f>
        <v>554510</v>
      </c>
      <c r="G2068" s="540">
        <f t="shared" si="1446"/>
        <v>609961</v>
      </c>
      <c r="H2068" s="132"/>
    </row>
    <row r="2069" spans="1:8" s="296" customFormat="1" ht="15.75" outlineLevel="3">
      <c r="A2069" s="543"/>
      <c r="B2069" s="543"/>
      <c r="C2069" s="551">
        <v>2210301</v>
      </c>
      <c r="D2069" s="552" t="s">
        <v>24</v>
      </c>
      <c r="E2069" s="555">
        <f>234000-50000</f>
        <v>184000</v>
      </c>
      <c r="F2069" s="540">
        <f t="shared" ref="F2069:G2069" si="1447">E2069*1.1</f>
        <v>202400.00000000003</v>
      </c>
      <c r="G2069" s="540">
        <f t="shared" si="1447"/>
        <v>222640.00000000006</v>
      </c>
      <c r="H2069" s="132"/>
    </row>
    <row r="2070" spans="1:8" s="296" customFormat="1" ht="15.75" outlineLevel="3">
      <c r="A2070" s="543"/>
      <c r="B2070" s="543"/>
      <c r="C2070" s="551">
        <v>2210302</v>
      </c>
      <c r="D2070" s="552" t="s">
        <v>501</v>
      </c>
      <c r="E2070" s="555">
        <v>100000</v>
      </c>
      <c r="F2070" s="540">
        <f t="shared" ref="F2070:G2070" si="1448">E2070*1.1</f>
        <v>110000.00000000001</v>
      </c>
      <c r="G2070" s="540">
        <f t="shared" si="1448"/>
        <v>121000.00000000003</v>
      </c>
      <c r="H2070" s="132"/>
    </row>
    <row r="2071" spans="1:8" s="296" customFormat="1" ht="15.75" outlineLevel="3">
      <c r="A2071" s="543"/>
      <c r="B2071" s="543"/>
      <c r="C2071" s="551">
        <v>2210303</v>
      </c>
      <c r="D2071" s="552" t="s">
        <v>259</v>
      </c>
      <c r="E2071" s="555">
        <f>250100-30000</f>
        <v>220100</v>
      </c>
      <c r="F2071" s="540">
        <f t="shared" ref="F2071:G2071" si="1449">E2071*1.1</f>
        <v>242110.00000000003</v>
      </c>
      <c r="G2071" s="540">
        <f t="shared" si="1449"/>
        <v>266321.00000000006</v>
      </c>
      <c r="H2071" s="132"/>
    </row>
    <row r="2072" spans="1:8" s="296" customFormat="1" ht="15.75" outlineLevel="3">
      <c r="A2072" s="543"/>
      <c r="B2072" s="543"/>
      <c r="C2072" s="546">
        <v>2210800</v>
      </c>
      <c r="D2072" s="548" t="s">
        <v>41</v>
      </c>
      <c r="E2072" s="549">
        <f>E2073</f>
        <v>452000</v>
      </c>
      <c r="F2072" s="540">
        <f t="shared" ref="F2072:G2072" si="1450">E2072*1.1</f>
        <v>497200.00000000006</v>
      </c>
      <c r="G2072" s="540">
        <f t="shared" si="1450"/>
        <v>546920.00000000012</v>
      </c>
      <c r="H2072" s="132"/>
    </row>
    <row r="2073" spans="1:8" s="296" customFormat="1" ht="15.75" outlineLevel="3">
      <c r="A2073" s="543"/>
      <c r="B2073" s="543"/>
      <c r="C2073" s="551">
        <v>2210802</v>
      </c>
      <c r="D2073" s="552" t="s">
        <v>86</v>
      </c>
      <c r="E2073" s="555">
        <f>872000-400000-20000</f>
        <v>452000</v>
      </c>
      <c r="F2073" s="540">
        <f t="shared" ref="F2073:G2073" si="1451">E2073*1.1</f>
        <v>497200.00000000006</v>
      </c>
      <c r="G2073" s="540">
        <f t="shared" si="1451"/>
        <v>546920.00000000012</v>
      </c>
      <c r="H2073" s="132"/>
    </row>
    <row r="2074" spans="1:8" s="296" customFormat="1" ht="15.75" outlineLevel="3">
      <c r="A2074" s="543"/>
      <c r="B2074" s="543"/>
      <c r="C2074" s="546">
        <v>2211200</v>
      </c>
      <c r="D2074" s="548" t="s">
        <v>53</v>
      </c>
      <c r="E2074" s="554">
        <f>E2075</f>
        <v>43900</v>
      </c>
      <c r="F2074" s="540">
        <f t="shared" ref="F2074:G2074" si="1452">E2074*1.1</f>
        <v>48290.000000000007</v>
      </c>
      <c r="G2074" s="540">
        <f t="shared" si="1452"/>
        <v>53119.000000000015</v>
      </c>
      <c r="H2074" s="132"/>
    </row>
    <row r="2075" spans="1:8" s="296" customFormat="1" ht="15.75" outlineLevel="3">
      <c r="A2075" s="543"/>
      <c r="B2075" s="543"/>
      <c r="C2075" s="551">
        <v>2211201</v>
      </c>
      <c r="D2075" s="552" t="s">
        <v>91</v>
      </c>
      <c r="E2075" s="555">
        <v>43900</v>
      </c>
      <c r="F2075" s="540">
        <f t="shared" ref="F2075:G2075" si="1453">E2075*1.1</f>
        <v>48290.000000000007</v>
      </c>
      <c r="G2075" s="540">
        <f t="shared" si="1453"/>
        <v>53119.000000000015</v>
      </c>
      <c r="H2075" s="132"/>
    </row>
    <row r="2076" spans="1:8" s="296" customFormat="1" ht="15.75" outlineLevel="2">
      <c r="A2076" s="543"/>
      <c r="B2076" s="543"/>
      <c r="C2076" s="546"/>
      <c r="D2076" s="548" t="s">
        <v>571</v>
      </c>
      <c r="E2076" s="549">
        <f>E2068+E2072+E2074</f>
        <v>1000000</v>
      </c>
      <c r="F2076" s="540">
        <f t="shared" ref="F2076:G2076" si="1454">E2076*1.1</f>
        <v>1100000</v>
      </c>
      <c r="G2076" s="540">
        <f t="shared" si="1454"/>
        <v>1210000</v>
      </c>
      <c r="H2076" s="132"/>
    </row>
    <row r="2077" spans="1:8" s="296" customFormat="1" ht="15.75" outlineLevel="2">
      <c r="A2077" s="543"/>
      <c r="B2077" s="543"/>
      <c r="C2077" s="546"/>
      <c r="D2077" s="548"/>
      <c r="E2077" s="549"/>
      <c r="F2077" s="540">
        <f t="shared" ref="F2077:G2077" si="1455">E2077*1.1</f>
        <v>0</v>
      </c>
      <c r="G2077" s="540">
        <f t="shared" si="1455"/>
        <v>0</v>
      </c>
      <c r="H2077" s="132"/>
    </row>
    <row r="2078" spans="1:8" s="296" customFormat="1" ht="15.75" outlineLevel="2">
      <c r="A2078" s="543"/>
      <c r="B2078" s="543"/>
      <c r="C2078" s="546" t="s">
        <v>184</v>
      </c>
      <c r="D2078" s="548"/>
      <c r="E2078" s="559"/>
      <c r="F2078" s="540">
        <f t="shared" ref="F2078:G2078" si="1456">E2078*1.1</f>
        <v>0</v>
      </c>
      <c r="G2078" s="540">
        <f t="shared" si="1456"/>
        <v>0</v>
      </c>
      <c r="H2078" s="132"/>
    </row>
    <row r="2079" spans="1:8" s="296" customFormat="1" ht="15.75" outlineLevel="3">
      <c r="A2079" s="560"/>
      <c r="B2079" s="560"/>
      <c r="C2079" s="539" t="s">
        <v>551</v>
      </c>
      <c r="D2079" s="527"/>
      <c r="E2079" s="491">
        <v>0</v>
      </c>
      <c r="F2079" s="540">
        <f t="shared" ref="F2079:G2079" si="1457">E2079*1.1</f>
        <v>0</v>
      </c>
      <c r="G2079" s="540">
        <f t="shared" si="1457"/>
        <v>0</v>
      </c>
      <c r="H2079" s="132"/>
    </row>
    <row r="2080" spans="1:8" s="296" customFormat="1" ht="30" outlineLevel="3">
      <c r="A2080" s="556" t="s">
        <v>547</v>
      </c>
      <c r="B2080" s="543" t="s">
        <v>98</v>
      </c>
      <c r="C2080" s="551">
        <v>2640503</v>
      </c>
      <c r="D2080" s="562" t="s">
        <v>572</v>
      </c>
      <c r="E2080" s="555">
        <v>0</v>
      </c>
      <c r="F2080" s="540">
        <f t="shared" ref="F2080:G2080" si="1458">E2080*1.1</f>
        <v>0</v>
      </c>
      <c r="G2080" s="540">
        <f t="shared" si="1458"/>
        <v>0</v>
      </c>
      <c r="H2080" s="132"/>
    </row>
    <row r="2081" spans="1:8" s="296" customFormat="1" ht="15.75" outlineLevel="2">
      <c r="A2081" s="543"/>
      <c r="B2081" s="543"/>
      <c r="C2081" s="546" t="s">
        <v>554</v>
      </c>
      <c r="D2081" s="563"/>
      <c r="E2081" s="521">
        <f>SUM(E2080:E2080)</f>
        <v>0</v>
      </c>
      <c r="F2081" s="540">
        <f t="shared" ref="F2081:G2081" si="1459">E2081*1.1</f>
        <v>0</v>
      </c>
      <c r="G2081" s="540">
        <f t="shared" si="1459"/>
        <v>0</v>
      </c>
      <c r="H2081" s="132"/>
    </row>
    <row r="2082" spans="1:8" s="296" customFormat="1" ht="15.75" outlineLevel="1">
      <c r="A2082" s="543"/>
      <c r="B2082" s="543"/>
      <c r="C2082" s="546"/>
      <c r="D2082" s="547"/>
      <c r="E2082" s="521">
        <f>E2081</f>
        <v>0</v>
      </c>
      <c r="F2082" s="540">
        <f t="shared" ref="F2082:G2082" si="1460">E2082*1.1</f>
        <v>0</v>
      </c>
      <c r="G2082" s="540">
        <f t="shared" si="1460"/>
        <v>0</v>
      </c>
      <c r="H2082" s="132"/>
    </row>
    <row r="2083" spans="1:8" s="296" customFormat="1" ht="15.75" outlineLevel="1">
      <c r="A2083" s="550"/>
      <c r="B2083" s="550"/>
      <c r="C2083" s="546"/>
      <c r="D2083" s="548"/>
      <c r="E2083" s="491"/>
      <c r="F2083" s="540">
        <f t="shared" ref="F2083:G2083" si="1461">E2083*1.1</f>
        <v>0</v>
      </c>
      <c r="G2083" s="540">
        <f t="shared" si="1461"/>
        <v>0</v>
      </c>
      <c r="H2083" s="132"/>
    </row>
    <row r="2084" spans="1:8" s="296" customFormat="1" ht="15.75" outlineLevel="1">
      <c r="A2084" s="556" t="s">
        <v>430</v>
      </c>
      <c r="B2084" s="546">
        <v>1</v>
      </c>
      <c r="C2084" s="543" t="s">
        <v>573</v>
      </c>
      <c r="D2084" s="548"/>
      <c r="E2084" s="491">
        <v>0</v>
      </c>
      <c r="F2084" s="540">
        <f t="shared" ref="F2084:G2084" si="1462">E2084*1.1</f>
        <v>0</v>
      </c>
      <c r="G2084" s="540">
        <f t="shared" si="1462"/>
        <v>0</v>
      </c>
      <c r="H2084" s="132"/>
    </row>
    <row r="2085" spans="1:8" s="296" customFormat="1" ht="30" outlineLevel="2">
      <c r="A2085" s="543"/>
      <c r="B2085" s="543"/>
      <c r="C2085" s="546">
        <v>2210300</v>
      </c>
      <c r="D2085" s="548" t="s">
        <v>574</v>
      </c>
      <c r="E2085" s="554">
        <f>E2086</f>
        <v>604170.22</v>
      </c>
      <c r="F2085" s="540">
        <f t="shared" ref="F2085:G2085" si="1463">E2085*1.1</f>
        <v>664587.24199999997</v>
      </c>
      <c r="G2085" s="540">
        <f t="shared" si="1463"/>
        <v>731045.96620000002</v>
      </c>
      <c r="H2085" s="132"/>
    </row>
    <row r="2086" spans="1:8" s="296" customFormat="1" ht="15.75" outlineLevel="2">
      <c r="A2086" s="543"/>
      <c r="B2086" s="543"/>
      <c r="C2086" s="551">
        <v>2210303</v>
      </c>
      <c r="D2086" s="552" t="s">
        <v>26</v>
      </c>
      <c r="E2086" s="555">
        <f>1004170.22-400000</f>
        <v>604170.22</v>
      </c>
      <c r="F2086" s="540">
        <f t="shared" ref="F2086:G2086" si="1464">E2086*1.1</f>
        <v>664587.24199999997</v>
      </c>
      <c r="G2086" s="540">
        <f t="shared" si="1464"/>
        <v>731045.96620000002</v>
      </c>
      <c r="H2086" s="132"/>
    </row>
    <row r="2087" spans="1:8" s="296" customFormat="1" ht="15.75" outlineLevel="2">
      <c r="A2087" s="543"/>
      <c r="B2087" s="543"/>
      <c r="C2087" s="546">
        <v>2210500</v>
      </c>
      <c r="D2087" s="548" t="s">
        <v>30</v>
      </c>
      <c r="E2087" s="554">
        <f>E2088</f>
        <v>340000</v>
      </c>
      <c r="F2087" s="540">
        <f t="shared" ref="F2087:G2087" si="1465">E2087*1.1</f>
        <v>374000.00000000006</v>
      </c>
      <c r="G2087" s="540">
        <f t="shared" si="1465"/>
        <v>411400.00000000012</v>
      </c>
      <c r="H2087" s="132"/>
    </row>
    <row r="2088" spans="1:8" s="296" customFormat="1" ht="15.75" outlineLevel="2">
      <c r="A2088" s="543"/>
      <c r="B2088" s="543"/>
      <c r="C2088" s="551">
        <v>2210502</v>
      </c>
      <c r="D2088" s="552" t="s">
        <v>502</v>
      </c>
      <c r="E2088" s="555">
        <f>440000-100000</f>
        <v>340000</v>
      </c>
      <c r="F2088" s="540">
        <f t="shared" ref="F2088:G2088" si="1466">E2088*1.1</f>
        <v>374000.00000000006</v>
      </c>
      <c r="G2088" s="540">
        <f t="shared" si="1466"/>
        <v>411400.00000000012</v>
      </c>
      <c r="H2088" s="132"/>
    </row>
    <row r="2089" spans="1:8" s="296" customFormat="1" ht="15.75" outlineLevel="2">
      <c r="A2089" s="543"/>
      <c r="B2089" s="543"/>
      <c r="C2089" s="546">
        <v>2211200</v>
      </c>
      <c r="D2089" s="548" t="s">
        <v>53</v>
      </c>
      <c r="E2089" s="549">
        <f>E2090+E2091</f>
        <v>600000</v>
      </c>
      <c r="F2089" s="540">
        <f t="shared" ref="F2089:G2089" si="1467">E2089*1.1</f>
        <v>660000</v>
      </c>
      <c r="G2089" s="540">
        <f t="shared" si="1467"/>
        <v>726000.00000000012</v>
      </c>
      <c r="H2089" s="132"/>
    </row>
    <row r="2090" spans="1:8" s="296" customFormat="1" ht="15.75" outlineLevel="2">
      <c r="A2090" s="550"/>
      <c r="B2090" s="550"/>
      <c r="C2090" s="551">
        <v>2211201</v>
      </c>
      <c r="D2090" s="552" t="s">
        <v>91</v>
      </c>
      <c r="E2090" s="553">
        <f>550000-150000</f>
        <v>400000</v>
      </c>
      <c r="F2090" s="540">
        <f t="shared" ref="F2090:G2090" si="1468">E2090*1.1</f>
        <v>440000.00000000006</v>
      </c>
      <c r="G2090" s="540">
        <f t="shared" si="1468"/>
        <v>484000.00000000012</v>
      </c>
      <c r="H2090" s="132"/>
    </row>
    <row r="2091" spans="1:8" s="296" customFormat="1" ht="15.75" outlineLevel="2">
      <c r="A2091" s="543"/>
      <c r="B2091" s="543"/>
      <c r="C2091" s="551">
        <v>2211204</v>
      </c>
      <c r="D2091" s="552" t="s">
        <v>575</v>
      </c>
      <c r="E2091" s="555">
        <f>250000-50000</f>
        <v>200000</v>
      </c>
      <c r="F2091" s="540">
        <f t="shared" ref="F2091:G2091" si="1469">E2091*1.1</f>
        <v>220000.00000000003</v>
      </c>
      <c r="G2091" s="540">
        <f t="shared" si="1469"/>
        <v>242000.00000000006</v>
      </c>
      <c r="H2091" s="132"/>
    </row>
    <row r="2092" spans="1:8" s="296" customFormat="1" ht="15.75" outlineLevel="1">
      <c r="A2092" s="543"/>
      <c r="B2092" s="543"/>
      <c r="C2092" s="546"/>
      <c r="D2092" s="548" t="s">
        <v>101</v>
      </c>
      <c r="E2092" s="521">
        <f>E2089+E2087+E2085</f>
        <v>1544170.22</v>
      </c>
      <c r="F2092" s="540">
        <f t="shared" ref="F2092:G2092" si="1470">E2092*1.1</f>
        <v>1698587.2420000001</v>
      </c>
      <c r="G2092" s="540">
        <f t="shared" si="1470"/>
        <v>1868445.9662000001</v>
      </c>
      <c r="H2092" s="132"/>
    </row>
    <row r="2093" spans="1:8" s="296" customFormat="1" ht="15.75" outlineLevel="1">
      <c r="A2093" s="550"/>
      <c r="B2093" s="550"/>
      <c r="C2093" s="551"/>
      <c r="D2093" s="552"/>
      <c r="E2093" s="491">
        <v>0</v>
      </c>
      <c r="F2093" s="540">
        <f t="shared" ref="F2093:G2093" si="1471">E2093*1.1</f>
        <v>0</v>
      </c>
      <c r="G2093" s="540">
        <f t="shared" si="1471"/>
        <v>0</v>
      </c>
      <c r="H2093" s="132"/>
    </row>
    <row r="2094" spans="1:8" s="296" customFormat="1" ht="15.75" outlineLevel="1">
      <c r="A2094" s="556" t="s">
        <v>576</v>
      </c>
      <c r="B2094" s="543" t="s">
        <v>98</v>
      </c>
      <c r="C2094" s="543" t="s">
        <v>577</v>
      </c>
      <c r="D2094" s="566"/>
      <c r="E2094" s="566"/>
      <c r="F2094" s="540">
        <f t="shared" ref="F2094:G2094" si="1472">E2094*1.1</f>
        <v>0</v>
      </c>
      <c r="G2094" s="540">
        <f t="shared" si="1472"/>
        <v>0</v>
      </c>
      <c r="H2094" s="132"/>
    </row>
    <row r="2095" spans="1:8" s="296" customFormat="1" ht="15.75" outlineLevel="2">
      <c r="A2095" s="556"/>
      <c r="B2095" s="543"/>
      <c r="C2095" s="546">
        <v>2210200</v>
      </c>
      <c r="D2095" s="548" t="s">
        <v>16</v>
      </c>
      <c r="E2095" s="554">
        <f>E2096</f>
        <v>60900</v>
      </c>
      <c r="F2095" s="540">
        <f t="shared" ref="F2095:G2095" si="1473">E2095*1.1</f>
        <v>66990</v>
      </c>
      <c r="G2095" s="540">
        <f t="shared" si="1473"/>
        <v>73689</v>
      </c>
      <c r="H2095" s="132"/>
    </row>
    <row r="2096" spans="1:8" s="296" customFormat="1" ht="15.75" outlineLevel="2">
      <c r="A2096" s="556"/>
      <c r="B2096" s="543"/>
      <c r="C2096" s="551">
        <v>2210201</v>
      </c>
      <c r="D2096" s="552" t="s">
        <v>236</v>
      </c>
      <c r="E2096" s="555">
        <v>60900</v>
      </c>
      <c r="F2096" s="540">
        <f t="shared" ref="F2096:G2096" si="1474">E2096*1.1</f>
        <v>66990</v>
      </c>
      <c r="G2096" s="540">
        <f t="shared" si="1474"/>
        <v>73689</v>
      </c>
      <c r="H2096" s="132"/>
    </row>
    <row r="2097" spans="1:8" s="296" customFormat="1" ht="30" outlineLevel="2">
      <c r="A2097" s="556"/>
      <c r="B2097" s="543"/>
      <c r="C2097" s="546">
        <v>2210300</v>
      </c>
      <c r="D2097" s="548" t="s">
        <v>574</v>
      </c>
      <c r="E2097" s="554">
        <f>E2098+E2099+E2100</f>
        <v>2073000</v>
      </c>
      <c r="F2097" s="540">
        <f t="shared" ref="F2097:G2097" si="1475">E2097*1.1</f>
        <v>2280300</v>
      </c>
      <c r="G2097" s="540">
        <f t="shared" si="1475"/>
        <v>2508330</v>
      </c>
      <c r="H2097" s="132"/>
    </row>
    <row r="2098" spans="1:8" s="296" customFormat="1" ht="15.75" outlineLevel="2">
      <c r="A2098" s="543"/>
      <c r="B2098" s="543"/>
      <c r="C2098" s="551">
        <v>2210301</v>
      </c>
      <c r="D2098" s="552" t="s">
        <v>24</v>
      </c>
      <c r="E2098" s="555">
        <v>835000</v>
      </c>
      <c r="F2098" s="540">
        <f t="shared" ref="F2098:G2098" si="1476">E2098*1.1</f>
        <v>918500.00000000012</v>
      </c>
      <c r="G2098" s="540">
        <f t="shared" si="1476"/>
        <v>1010350.0000000002</v>
      </c>
      <c r="H2098" s="132"/>
    </row>
    <row r="2099" spans="1:8" s="296" customFormat="1" ht="15.75" outlineLevel="2">
      <c r="A2099" s="550"/>
      <c r="B2099" s="550"/>
      <c r="C2099" s="551">
        <v>2210302</v>
      </c>
      <c r="D2099" s="552" t="s">
        <v>25</v>
      </c>
      <c r="E2099" s="555">
        <v>490000</v>
      </c>
      <c r="F2099" s="540">
        <f t="shared" ref="F2099:G2099" si="1477">E2099*1.1</f>
        <v>539000</v>
      </c>
      <c r="G2099" s="540">
        <f t="shared" si="1477"/>
        <v>592900</v>
      </c>
      <c r="H2099" s="132"/>
    </row>
    <row r="2100" spans="1:8" s="296" customFormat="1" ht="15.75" outlineLevel="2">
      <c r="A2100" s="543"/>
      <c r="B2100" s="543"/>
      <c r="C2100" s="551">
        <v>2210303</v>
      </c>
      <c r="D2100" s="552" t="s">
        <v>26</v>
      </c>
      <c r="E2100" s="555">
        <v>748000</v>
      </c>
      <c r="F2100" s="540">
        <f t="shared" ref="F2100:G2100" si="1478">E2100*1.1</f>
        <v>822800.00000000012</v>
      </c>
      <c r="G2100" s="540">
        <f t="shared" si="1478"/>
        <v>905080.00000000023</v>
      </c>
      <c r="H2100" s="132"/>
    </row>
    <row r="2101" spans="1:8" s="296" customFormat="1" ht="15.75" outlineLevel="2">
      <c r="A2101" s="550"/>
      <c r="B2101" s="550"/>
      <c r="C2101" s="546">
        <v>2210800</v>
      </c>
      <c r="D2101" s="548" t="s">
        <v>41</v>
      </c>
      <c r="E2101" s="554">
        <f>E2102</f>
        <v>525969</v>
      </c>
      <c r="F2101" s="540">
        <f t="shared" ref="F2101:G2101" si="1479">E2101*1.1</f>
        <v>578565.9</v>
      </c>
      <c r="G2101" s="540">
        <f t="shared" si="1479"/>
        <v>636422.49000000011</v>
      </c>
      <c r="H2101" s="132"/>
    </row>
    <row r="2102" spans="1:8" s="296" customFormat="1" ht="30" outlineLevel="2">
      <c r="A2102" s="550"/>
      <c r="B2102" s="550"/>
      <c r="C2102" s="551">
        <v>2210803</v>
      </c>
      <c r="D2102" s="552" t="s">
        <v>112</v>
      </c>
      <c r="E2102" s="555">
        <v>525969</v>
      </c>
      <c r="F2102" s="540">
        <f t="shared" ref="F2102:G2102" si="1480">E2102*1.1</f>
        <v>578565.9</v>
      </c>
      <c r="G2102" s="540">
        <f t="shared" si="1480"/>
        <v>636422.49000000011</v>
      </c>
      <c r="H2102" s="132"/>
    </row>
    <row r="2103" spans="1:8" s="296" customFormat="1" ht="15.75" outlineLevel="1">
      <c r="A2103" s="543"/>
      <c r="B2103" s="543"/>
      <c r="C2103" s="546"/>
      <c r="D2103" s="548" t="s">
        <v>101</v>
      </c>
      <c r="E2103" s="521">
        <f>E2095+E2097+E2101</f>
        <v>2659869</v>
      </c>
      <c r="F2103" s="540">
        <f t="shared" ref="F2103:G2103" si="1481">E2103*1.1</f>
        <v>2925855.9000000004</v>
      </c>
      <c r="G2103" s="540">
        <f t="shared" si="1481"/>
        <v>3218441.4900000007</v>
      </c>
      <c r="H2103" s="132"/>
    </row>
    <row r="2104" spans="1:8" s="296" customFormat="1" ht="15.75" outlineLevel="1">
      <c r="A2104" s="543"/>
      <c r="B2104" s="543"/>
      <c r="C2104" s="546"/>
      <c r="D2104" s="548" t="s">
        <v>80</v>
      </c>
      <c r="E2104" s="521">
        <f>E2103</f>
        <v>2659869</v>
      </c>
      <c r="F2104" s="540">
        <f t="shared" ref="F2104:G2104" si="1482">E2104*1.1</f>
        <v>2925855.9000000004</v>
      </c>
      <c r="G2104" s="540">
        <f t="shared" si="1482"/>
        <v>3218441.4900000007</v>
      </c>
      <c r="H2104" s="132"/>
    </row>
    <row r="2105" spans="1:8" s="296" customFormat="1" ht="15.75" outlineLevel="1">
      <c r="A2105" s="550"/>
      <c r="B2105" s="550"/>
      <c r="C2105" s="551"/>
      <c r="D2105" s="552"/>
      <c r="E2105" s="491">
        <v>0</v>
      </c>
      <c r="F2105" s="540">
        <f t="shared" ref="F2105:G2105" si="1483">E2105*1.1</f>
        <v>0</v>
      </c>
      <c r="G2105" s="540">
        <f t="shared" si="1483"/>
        <v>0</v>
      </c>
      <c r="H2105" s="132"/>
    </row>
    <row r="2106" spans="1:8" s="296" customFormat="1" ht="15.75" outlineLevel="1">
      <c r="A2106" s="556" t="s">
        <v>430</v>
      </c>
      <c r="B2106" s="543" t="s">
        <v>98</v>
      </c>
      <c r="C2106" s="543" t="s">
        <v>578</v>
      </c>
      <c r="D2106" s="566"/>
      <c r="E2106" s="567"/>
      <c r="F2106" s="540">
        <f t="shared" ref="F2106:G2106" si="1484">E2106*1.1</f>
        <v>0</v>
      </c>
      <c r="G2106" s="540">
        <f t="shared" si="1484"/>
        <v>0</v>
      </c>
      <c r="H2106" s="132"/>
    </row>
    <row r="2107" spans="1:8" s="296" customFormat="1" ht="30" outlineLevel="2">
      <c r="A2107" s="543"/>
      <c r="B2107" s="543"/>
      <c r="C2107" s="546">
        <v>2210300</v>
      </c>
      <c r="D2107" s="548" t="s">
        <v>23</v>
      </c>
      <c r="E2107" s="554">
        <f>E2108</f>
        <v>424194.02</v>
      </c>
      <c r="F2107" s="540">
        <f t="shared" ref="F2107:G2107" si="1485">E2107*1.1</f>
        <v>466613.42200000008</v>
      </c>
      <c r="G2107" s="540">
        <f t="shared" si="1485"/>
        <v>513274.76420000015</v>
      </c>
      <c r="H2107" s="132"/>
    </row>
    <row r="2108" spans="1:8" s="296" customFormat="1" ht="15.75" outlineLevel="2">
      <c r="A2108" s="550"/>
      <c r="B2108" s="550"/>
      <c r="C2108" s="551">
        <v>2210303</v>
      </c>
      <c r="D2108" s="552" t="s">
        <v>26</v>
      </c>
      <c r="E2108" s="555">
        <v>424194.02</v>
      </c>
      <c r="F2108" s="540">
        <f t="shared" ref="F2108:G2108" si="1486">E2108*1.1</f>
        <v>466613.42200000008</v>
      </c>
      <c r="G2108" s="540">
        <f t="shared" si="1486"/>
        <v>513274.76420000015</v>
      </c>
      <c r="H2108" s="132"/>
    </row>
    <row r="2109" spans="1:8" s="296" customFormat="1" ht="15.75" outlineLevel="2">
      <c r="A2109" s="543"/>
      <c r="B2109" s="543"/>
      <c r="C2109" s="546">
        <v>2211100</v>
      </c>
      <c r="D2109" s="548" t="s">
        <v>49</v>
      </c>
      <c r="E2109" s="554">
        <f>E2110</f>
        <v>109748.702</v>
      </c>
      <c r="F2109" s="540">
        <f t="shared" ref="F2109:G2109" si="1487">E2109*1.1</f>
        <v>120723.57220000001</v>
      </c>
      <c r="G2109" s="540">
        <f t="shared" si="1487"/>
        <v>132795.92942000003</v>
      </c>
      <c r="H2109" s="132"/>
    </row>
    <row r="2110" spans="1:8" s="296" customFormat="1" ht="30" outlineLevel="2">
      <c r="A2110" s="550"/>
      <c r="B2110" s="550"/>
      <c r="C2110" s="551">
        <v>2211101</v>
      </c>
      <c r="D2110" s="552" t="s">
        <v>50</v>
      </c>
      <c r="E2110" s="555">
        <v>109748.702</v>
      </c>
      <c r="F2110" s="540">
        <f t="shared" ref="F2110:G2110" si="1488">E2110*1.1</f>
        <v>120723.57220000001</v>
      </c>
      <c r="G2110" s="540">
        <f t="shared" si="1488"/>
        <v>132795.92942000003</v>
      </c>
      <c r="H2110" s="132"/>
    </row>
    <row r="2111" spans="1:8" s="296" customFormat="1" ht="15.75" outlineLevel="2">
      <c r="A2111" s="543"/>
      <c r="B2111" s="543"/>
      <c r="C2111" s="546">
        <v>2211200</v>
      </c>
      <c r="D2111" s="548" t="s">
        <v>53</v>
      </c>
      <c r="E2111" s="554">
        <f>E2112</f>
        <v>750000</v>
      </c>
      <c r="F2111" s="540">
        <f t="shared" ref="F2111:G2111" si="1489">E2111*1.1</f>
        <v>825000.00000000012</v>
      </c>
      <c r="G2111" s="540">
        <f t="shared" si="1489"/>
        <v>907500.00000000023</v>
      </c>
      <c r="H2111" s="132"/>
    </row>
    <row r="2112" spans="1:8" s="296" customFormat="1" ht="15.75" outlineLevel="2">
      <c r="A2112" s="550"/>
      <c r="B2112" s="550"/>
      <c r="C2112" s="551">
        <v>2211201</v>
      </c>
      <c r="D2112" s="552" t="s">
        <v>91</v>
      </c>
      <c r="E2112" s="555">
        <f>930000-180000</f>
        <v>750000</v>
      </c>
      <c r="F2112" s="540">
        <f t="shared" ref="F2112:G2112" si="1490">E2112*1.1</f>
        <v>825000.00000000012</v>
      </c>
      <c r="G2112" s="540">
        <f t="shared" si="1490"/>
        <v>907500.00000000023</v>
      </c>
      <c r="H2112" s="132"/>
    </row>
    <row r="2113" spans="1:8" s="296" customFormat="1" ht="15.75" outlineLevel="1">
      <c r="A2113" s="543"/>
      <c r="B2113" s="543"/>
      <c r="C2113" s="546" t="s">
        <v>369</v>
      </c>
      <c r="D2113" s="548"/>
      <c r="E2113" s="521">
        <f>E2111+E2109+E2107</f>
        <v>1283942.7220000001</v>
      </c>
      <c r="F2113" s="540">
        <f t="shared" ref="F2113:G2113" si="1491">E2113*1.1</f>
        <v>1412336.9942000001</v>
      </c>
      <c r="G2113" s="540">
        <f t="shared" si="1491"/>
        <v>1553570.6936200003</v>
      </c>
      <c r="H2113" s="132"/>
    </row>
    <row r="2114" spans="1:8" s="296" customFormat="1" ht="15.75" outlineLevel="1">
      <c r="A2114" s="550"/>
      <c r="B2114" s="550"/>
      <c r="C2114" s="551"/>
      <c r="D2114" s="552"/>
      <c r="E2114" s="491">
        <v>0</v>
      </c>
      <c r="F2114" s="540">
        <f t="shared" ref="F2114:G2114" si="1492">E2114*1.1</f>
        <v>0</v>
      </c>
      <c r="G2114" s="540">
        <f t="shared" si="1492"/>
        <v>0</v>
      </c>
      <c r="H2114" s="132"/>
    </row>
    <row r="2115" spans="1:8" s="296" customFormat="1" ht="15.75" outlineLevel="1">
      <c r="A2115" s="556" t="s">
        <v>430</v>
      </c>
      <c r="B2115" s="543" t="s">
        <v>98</v>
      </c>
      <c r="C2115" s="543" t="s">
        <v>579</v>
      </c>
      <c r="D2115" s="548"/>
      <c r="E2115" s="548"/>
      <c r="F2115" s="540">
        <f t="shared" ref="F2115:G2115" si="1493">E2115*1.1</f>
        <v>0</v>
      </c>
      <c r="G2115" s="540">
        <f t="shared" si="1493"/>
        <v>0</v>
      </c>
      <c r="H2115" s="132"/>
    </row>
    <row r="2116" spans="1:8" s="296" customFormat="1" ht="60" outlineLevel="2">
      <c r="A2116" s="543"/>
      <c r="B2116" s="543"/>
      <c r="C2116" s="546">
        <v>2210300</v>
      </c>
      <c r="D2116" s="548" t="s">
        <v>580</v>
      </c>
      <c r="E2116" s="554">
        <f>E2117+E2118+E2119</f>
        <v>820000</v>
      </c>
      <c r="F2116" s="540">
        <f t="shared" ref="F2116:G2116" si="1494">E2116*1.1</f>
        <v>902000.00000000012</v>
      </c>
      <c r="G2116" s="540">
        <f t="shared" si="1494"/>
        <v>992200.00000000023</v>
      </c>
      <c r="H2116" s="132"/>
    </row>
    <row r="2117" spans="1:8" s="296" customFormat="1" ht="15.75" outlineLevel="2">
      <c r="A2117" s="543"/>
      <c r="B2117" s="543"/>
      <c r="C2117" s="551">
        <v>2210301</v>
      </c>
      <c r="D2117" s="552" t="s">
        <v>24</v>
      </c>
      <c r="E2117" s="555">
        <f>350000-30000</f>
        <v>320000</v>
      </c>
      <c r="F2117" s="540">
        <f t="shared" ref="F2117:G2117" si="1495">E2117*1.1</f>
        <v>352000</v>
      </c>
      <c r="G2117" s="540">
        <f t="shared" si="1495"/>
        <v>387200.00000000006</v>
      </c>
      <c r="H2117" s="132"/>
    </row>
    <row r="2118" spans="1:8" s="296" customFormat="1" ht="15.75" outlineLevel="2">
      <c r="A2118" s="543"/>
      <c r="B2118" s="543"/>
      <c r="C2118" s="551">
        <v>2210302</v>
      </c>
      <c r="D2118" s="552" t="s">
        <v>25</v>
      </c>
      <c r="E2118" s="555">
        <f>290000+55000-50000</f>
        <v>295000</v>
      </c>
      <c r="F2118" s="540">
        <f t="shared" ref="F2118:G2118" si="1496">E2118*1.1</f>
        <v>324500</v>
      </c>
      <c r="G2118" s="540">
        <f t="shared" si="1496"/>
        <v>356950</v>
      </c>
      <c r="H2118" s="132"/>
    </row>
    <row r="2119" spans="1:8" s="296" customFormat="1" ht="15.75" outlineLevel="2">
      <c r="A2119" s="543"/>
      <c r="B2119" s="543"/>
      <c r="C2119" s="551">
        <v>2210303</v>
      </c>
      <c r="D2119" s="552" t="s">
        <v>26</v>
      </c>
      <c r="E2119" s="555">
        <f>305000-100000</f>
        <v>205000</v>
      </c>
      <c r="F2119" s="540">
        <f t="shared" ref="F2119:G2119" si="1497">E2119*1.1</f>
        <v>225500.00000000003</v>
      </c>
      <c r="G2119" s="540">
        <f t="shared" si="1497"/>
        <v>248050.00000000006</v>
      </c>
      <c r="H2119" s="132"/>
    </row>
    <row r="2120" spans="1:8" s="296" customFormat="1" ht="15.75" outlineLevel="2">
      <c r="A2120" s="550"/>
      <c r="B2120" s="550"/>
      <c r="C2120" s="546">
        <v>2210800</v>
      </c>
      <c r="D2120" s="548" t="s">
        <v>41</v>
      </c>
      <c r="E2120" s="554">
        <f>E2121</f>
        <v>181200</v>
      </c>
      <c r="F2120" s="540">
        <f t="shared" ref="F2120:G2120" si="1498">E2120*1.1</f>
        <v>199320.00000000003</v>
      </c>
      <c r="G2120" s="540">
        <f t="shared" si="1498"/>
        <v>219252.00000000006</v>
      </c>
      <c r="H2120" s="132"/>
    </row>
    <row r="2121" spans="1:8" s="296" customFormat="1" ht="30" outlineLevel="2">
      <c r="A2121" s="543"/>
      <c r="B2121" s="543"/>
      <c r="C2121" s="551">
        <v>2210801</v>
      </c>
      <c r="D2121" s="552" t="s">
        <v>112</v>
      </c>
      <c r="E2121" s="555">
        <v>181200</v>
      </c>
      <c r="F2121" s="540">
        <f t="shared" ref="F2121:G2121" si="1499">E2121*1.1</f>
        <v>199320.00000000003</v>
      </c>
      <c r="G2121" s="540">
        <f t="shared" si="1499"/>
        <v>219252.00000000006</v>
      </c>
      <c r="H2121" s="132"/>
    </row>
    <row r="2122" spans="1:8" s="296" customFormat="1" ht="15.75" outlineLevel="1">
      <c r="A2122" s="543"/>
      <c r="B2122" s="543"/>
      <c r="C2122" s="546" t="s">
        <v>101</v>
      </c>
      <c r="D2122" s="548"/>
      <c r="E2122" s="559">
        <f>E2116+E2120</f>
        <v>1001200</v>
      </c>
      <c r="F2122" s="540">
        <f t="shared" ref="F2122:G2122" si="1500">E2122*1.1</f>
        <v>1101320</v>
      </c>
      <c r="G2122" s="540">
        <f t="shared" si="1500"/>
        <v>1211452</v>
      </c>
      <c r="H2122" s="132"/>
    </row>
    <row r="2123" spans="1:8" s="296" customFormat="1" ht="15.75" outlineLevel="1">
      <c r="A2123" s="543"/>
      <c r="B2123" s="543"/>
      <c r="C2123" s="546" t="s">
        <v>581</v>
      </c>
      <c r="D2123" s="548"/>
      <c r="E2123" s="559">
        <f>E2122</f>
        <v>1001200</v>
      </c>
      <c r="F2123" s="540">
        <f t="shared" ref="F2123:G2123" si="1501">E2123*1.1</f>
        <v>1101320</v>
      </c>
      <c r="G2123" s="540">
        <f t="shared" si="1501"/>
        <v>1211452</v>
      </c>
      <c r="H2123" s="132"/>
    </row>
    <row r="2124" spans="1:8" s="296" customFormat="1" ht="15.75" outlineLevel="1">
      <c r="A2124" s="543"/>
      <c r="B2124" s="543"/>
      <c r="C2124" s="546"/>
      <c r="D2124" s="548"/>
      <c r="E2124" s="491">
        <v>0</v>
      </c>
      <c r="F2124" s="540">
        <f t="shared" ref="F2124:G2124" si="1502">E2124*1.1</f>
        <v>0</v>
      </c>
      <c r="G2124" s="540">
        <f t="shared" si="1502"/>
        <v>0</v>
      </c>
      <c r="H2124" s="132"/>
    </row>
    <row r="2125" spans="1:8" s="296" customFormat="1" ht="15.75" outlineLevel="1">
      <c r="A2125" s="556" t="s">
        <v>576</v>
      </c>
      <c r="B2125" s="543" t="s">
        <v>98</v>
      </c>
      <c r="C2125" s="543" t="s">
        <v>582</v>
      </c>
      <c r="D2125" s="548"/>
      <c r="E2125" s="491">
        <v>0</v>
      </c>
      <c r="F2125" s="540">
        <f t="shared" ref="F2125:G2125" si="1503">E2125*1.1</f>
        <v>0</v>
      </c>
      <c r="G2125" s="540">
        <f t="shared" si="1503"/>
        <v>0</v>
      </c>
      <c r="H2125" s="132"/>
    </row>
    <row r="2126" spans="1:8" s="296" customFormat="1" ht="15.75" outlineLevel="2">
      <c r="A2126" s="543"/>
      <c r="B2126" s="543"/>
      <c r="C2126" s="546">
        <v>2110200</v>
      </c>
      <c r="D2126" s="548" t="s">
        <v>155</v>
      </c>
      <c r="E2126" s="554">
        <f>E2127</f>
        <v>8000000</v>
      </c>
      <c r="F2126" s="540">
        <f t="shared" ref="F2126:G2126" si="1504">E2126*1.1</f>
        <v>8800000</v>
      </c>
      <c r="G2126" s="540">
        <f t="shared" si="1504"/>
        <v>9680000</v>
      </c>
      <c r="H2126" s="132"/>
    </row>
    <row r="2127" spans="1:8" s="296" customFormat="1" ht="30" outlineLevel="2">
      <c r="A2127" s="550"/>
      <c r="B2127" s="550"/>
      <c r="C2127" s="551">
        <v>2110202</v>
      </c>
      <c r="D2127" s="552" t="s">
        <v>583</v>
      </c>
      <c r="E2127" s="553">
        <v>8000000</v>
      </c>
      <c r="F2127" s="540">
        <f t="shared" ref="F2127:G2127" si="1505">E2127*1.1</f>
        <v>8800000</v>
      </c>
      <c r="G2127" s="540">
        <f t="shared" si="1505"/>
        <v>9680000</v>
      </c>
      <c r="H2127" s="132"/>
    </row>
    <row r="2128" spans="1:8" s="296" customFormat="1" ht="30" outlineLevel="2">
      <c r="A2128" s="543"/>
      <c r="B2128" s="543"/>
      <c r="C2128" s="546">
        <v>2210300</v>
      </c>
      <c r="D2128" s="548" t="s">
        <v>23</v>
      </c>
      <c r="E2128" s="554">
        <f>E2129</f>
        <v>556784.005</v>
      </c>
      <c r="F2128" s="540">
        <f t="shared" ref="F2128:G2128" si="1506">E2128*1.1</f>
        <v>612462.40550000011</v>
      </c>
      <c r="G2128" s="540">
        <f t="shared" si="1506"/>
        <v>673708.64605000021</v>
      </c>
      <c r="H2128" s="132"/>
    </row>
    <row r="2129" spans="1:8" s="296" customFormat="1" ht="15.75" outlineLevel="2">
      <c r="A2129" s="550"/>
      <c r="B2129" s="550"/>
      <c r="C2129" s="551">
        <v>2210303</v>
      </c>
      <c r="D2129" s="552" t="s">
        <v>259</v>
      </c>
      <c r="E2129" s="555">
        <v>556784.005</v>
      </c>
      <c r="F2129" s="540">
        <f t="shared" ref="F2129:G2129" si="1507">E2129*1.1</f>
        <v>612462.40550000011</v>
      </c>
      <c r="G2129" s="540">
        <f t="shared" si="1507"/>
        <v>673708.64605000021</v>
      </c>
      <c r="H2129" s="132"/>
    </row>
    <row r="2130" spans="1:8" s="296" customFormat="1" ht="15.75" outlineLevel="2">
      <c r="A2130" s="543"/>
      <c r="B2130" s="543"/>
      <c r="C2130" s="546">
        <v>2210500</v>
      </c>
      <c r="D2130" s="548" t="s">
        <v>30</v>
      </c>
      <c r="E2130" s="554">
        <f>E2131+E2132+E2133</f>
        <v>784735.46799999999</v>
      </c>
      <c r="F2130" s="540">
        <f t="shared" ref="F2130:G2130" si="1508">E2130*1.1</f>
        <v>863209.0148</v>
      </c>
      <c r="G2130" s="540">
        <f t="shared" si="1508"/>
        <v>949529.91628000012</v>
      </c>
      <c r="H2130" s="132"/>
    </row>
    <row r="2131" spans="1:8" s="296" customFormat="1" ht="15.75" outlineLevel="2">
      <c r="A2131" s="550"/>
      <c r="B2131" s="550"/>
      <c r="C2131" s="551">
        <v>2210502</v>
      </c>
      <c r="D2131" s="552" t="s">
        <v>162</v>
      </c>
      <c r="E2131" s="555">
        <v>31212.468000000001</v>
      </c>
      <c r="F2131" s="540">
        <f t="shared" ref="F2131:G2131" si="1509">E2131*1.1</f>
        <v>34333.714800000002</v>
      </c>
      <c r="G2131" s="540">
        <f t="shared" si="1509"/>
        <v>37767.086280000003</v>
      </c>
      <c r="H2131" s="132"/>
    </row>
    <row r="2132" spans="1:8" s="296" customFormat="1" ht="15.75" outlineLevel="2">
      <c r="A2132" s="550"/>
      <c r="B2132" s="550"/>
      <c r="C2132" s="551">
        <v>2210504</v>
      </c>
      <c r="D2132" s="552" t="s">
        <v>584</v>
      </c>
      <c r="E2132" s="555">
        <f>297440-150000</f>
        <v>147440</v>
      </c>
      <c r="F2132" s="540">
        <f t="shared" ref="F2132:G2132" si="1510">E2132*1.1</f>
        <v>162184</v>
      </c>
      <c r="G2132" s="540">
        <f t="shared" si="1510"/>
        <v>178402.40000000002</v>
      </c>
      <c r="H2132" s="132"/>
    </row>
    <row r="2133" spans="1:8" s="296" customFormat="1" ht="30" outlineLevel="2">
      <c r="A2133" s="550"/>
      <c r="B2133" s="550"/>
      <c r="C2133" s="551">
        <v>2210505</v>
      </c>
      <c r="D2133" s="552" t="s">
        <v>585</v>
      </c>
      <c r="E2133" s="555">
        <f>717138-111055</f>
        <v>606083</v>
      </c>
      <c r="F2133" s="540">
        <f t="shared" ref="F2133:G2133" si="1511">E2133*1.1</f>
        <v>666691.30000000005</v>
      </c>
      <c r="G2133" s="540">
        <f t="shared" si="1511"/>
        <v>733360.43000000017</v>
      </c>
      <c r="H2133" s="132"/>
    </row>
    <row r="2134" spans="1:8" s="296" customFormat="1" ht="15.75" outlineLevel="2">
      <c r="A2134" s="543"/>
      <c r="B2134" s="543"/>
      <c r="C2134" s="546">
        <v>2210800</v>
      </c>
      <c r="D2134" s="548" t="s">
        <v>41</v>
      </c>
      <c r="E2134" s="554">
        <f>E2135</f>
        <v>300000</v>
      </c>
      <c r="F2134" s="540">
        <f t="shared" ref="F2134:G2134" si="1512">E2134*1.1</f>
        <v>330000</v>
      </c>
      <c r="G2134" s="540">
        <f t="shared" si="1512"/>
        <v>363000.00000000006</v>
      </c>
      <c r="H2134" s="132"/>
    </row>
    <row r="2135" spans="1:8" s="296" customFormat="1" ht="30" outlineLevel="2">
      <c r="A2135" s="550"/>
      <c r="B2135" s="550"/>
      <c r="C2135" s="551">
        <v>2210801</v>
      </c>
      <c r="D2135" s="552" t="s">
        <v>112</v>
      </c>
      <c r="E2135" s="555">
        <v>300000</v>
      </c>
      <c r="F2135" s="540">
        <f t="shared" ref="F2135:G2135" si="1513">E2135*1.1</f>
        <v>330000</v>
      </c>
      <c r="G2135" s="540">
        <f t="shared" si="1513"/>
        <v>363000.00000000006</v>
      </c>
      <c r="H2135" s="132"/>
    </row>
    <row r="2136" spans="1:8" s="296" customFormat="1" ht="15.75" outlineLevel="2">
      <c r="A2136" s="550"/>
      <c r="B2136" s="550"/>
      <c r="C2136" s="546">
        <v>2640400</v>
      </c>
      <c r="D2136" s="548" t="s">
        <v>586</v>
      </c>
      <c r="E2136" s="554">
        <f>E2137</f>
        <v>16916251</v>
      </c>
      <c r="F2136" s="540">
        <f t="shared" ref="F2136:G2136" si="1514">E2136*1.1</f>
        <v>18607876.100000001</v>
      </c>
      <c r="G2136" s="540">
        <f t="shared" si="1514"/>
        <v>20468663.710000005</v>
      </c>
      <c r="H2136" s="132"/>
    </row>
    <row r="2137" spans="1:8" s="296" customFormat="1" ht="30" outlineLevel="2">
      <c r="A2137" s="550"/>
      <c r="B2137" s="550"/>
      <c r="C2137" s="551">
        <v>2640499</v>
      </c>
      <c r="D2137" s="552" t="s">
        <v>587</v>
      </c>
      <c r="E2137" s="555">
        <v>16916251</v>
      </c>
      <c r="F2137" s="540">
        <f t="shared" ref="F2137:G2137" si="1515">E2137*1.1</f>
        <v>18607876.100000001</v>
      </c>
      <c r="G2137" s="540">
        <f t="shared" si="1515"/>
        <v>20468663.710000005</v>
      </c>
      <c r="H2137" s="132"/>
    </row>
    <row r="2138" spans="1:8" s="296" customFormat="1" ht="15.75" outlineLevel="1">
      <c r="A2138" s="543"/>
      <c r="B2138" s="543"/>
      <c r="C2138" s="546" t="s">
        <v>70</v>
      </c>
      <c r="D2138" s="548"/>
      <c r="E2138" s="521">
        <f>E2134+E2130+E2128+E2126+E2136</f>
        <v>26557770.472999997</v>
      </c>
      <c r="F2138" s="540">
        <f t="shared" ref="F2138:G2138" si="1516">E2138*1.1</f>
        <v>29213547.520300001</v>
      </c>
      <c r="G2138" s="540">
        <f t="shared" si="1516"/>
        <v>32134902.272330005</v>
      </c>
      <c r="H2138" s="132"/>
    </row>
    <row r="2139" spans="1:8" s="296" customFormat="1" ht="15.75" outlineLevel="1">
      <c r="A2139" s="543"/>
      <c r="B2139" s="543"/>
      <c r="C2139" s="546"/>
      <c r="D2139" s="548"/>
      <c r="E2139" s="491">
        <v>0</v>
      </c>
      <c r="F2139" s="540">
        <f t="shared" ref="F2139:G2139" si="1517">E2139*1.1</f>
        <v>0</v>
      </c>
      <c r="G2139" s="540">
        <f t="shared" si="1517"/>
        <v>0</v>
      </c>
      <c r="H2139" s="132"/>
    </row>
    <row r="2140" spans="1:8" s="296" customFormat="1" ht="15.75" outlineLevel="1">
      <c r="A2140" s="556" t="s">
        <v>547</v>
      </c>
      <c r="B2140" s="543" t="s">
        <v>98</v>
      </c>
      <c r="C2140" s="546" t="s">
        <v>588</v>
      </c>
      <c r="D2140" s="568"/>
      <c r="E2140" s="569"/>
      <c r="F2140" s="540">
        <f t="shared" ref="F2140:G2140" si="1518">E2140*1.1</f>
        <v>0</v>
      </c>
      <c r="G2140" s="540">
        <f t="shared" si="1518"/>
        <v>0</v>
      </c>
      <c r="H2140" s="132"/>
    </row>
    <row r="2141" spans="1:8" s="296" customFormat="1" ht="30" outlineLevel="2">
      <c r="A2141" s="543"/>
      <c r="B2141" s="543"/>
      <c r="C2141" s="546">
        <v>2210300</v>
      </c>
      <c r="D2141" s="548" t="s">
        <v>23</v>
      </c>
      <c r="E2141" s="554">
        <f>E2142+E2143+E2144</f>
        <v>1762154.4416</v>
      </c>
      <c r="F2141" s="540">
        <f t="shared" ref="F2141:G2141" si="1519">E2141*1.1</f>
        <v>1938369.8857600002</v>
      </c>
      <c r="G2141" s="540">
        <f t="shared" si="1519"/>
        <v>2132206.8743360005</v>
      </c>
      <c r="H2141" s="132"/>
    </row>
    <row r="2142" spans="1:8" s="296" customFormat="1" ht="15.75" outlineLevel="2">
      <c r="A2142" s="550"/>
      <c r="B2142" s="550"/>
      <c r="C2142" s="551">
        <v>2210301</v>
      </c>
      <c r="D2142" s="552" t="s">
        <v>24</v>
      </c>
      <c r="E2142" s="555">
        <f>696000+200000-165183-150000</f>
        <v>580817</v>
      </c>
      <c r="F2142" s="540">
        <f t="shared" ref="F2142:G2142" si="1520">E2142*1.1</f>
        <v>638898.70000000007</v>
      </c>
      <c r="G2142" s="540">
        <f t="shared" si="1520"/>
        <v>702788.57000000018</v>
      </c>
      <c r="H2142" s="132"/>
    </row>
    <row r="2143" spans="1:8" s="296" customFormat="1" ht="15.75" outlineLevel="2">
      <c r="A2143" s="550"/>
      <c r="B2143" s="550"/>
      <c r="C2143" s="551">
        <v>2210302</v>
      </c>
      <c r="D2143" s="552" t="s">
        <v>501</v>
      </c>
      <c r="E2143" s="555">
        <f>970000-220000-100000</f>
        <v>650000</v>
      </c>
      <c r="F2143" s="540">
        <f t="shared" ref="F2143:G2143" si="1521">E2143*1.1</f>
        <v>715000</v>
      </c>
      <c r="G2143" s="540">
        <f t="shared" si="1521"/>
        <v>786500.00000000012</v>
      </c>
      <c r="H2143" s="132"/>
    </row>
    <row r="2144" spans="1:8" s="296" customFormat="1" ht="15.75" outlineLevel="2">
      <c r="A2144" s="550"/>
      <c r="B2144" s="550"/>
      <c r="C2144" s="551">
        <v>2210303</v>
      </c>
      <c r="D2144" s="552" t="s">
        <v>26</v>
      </c>
      <c r="E2144" s="555">
        <f>981337.4416-300000-150000</f>
        <v>531337.44160000002</v>
      </c>
      <c r="F2144" s="540">
        <f t="shared" ref="F2144:G2144" si="1522">E2144*1.1</f>
        <v>584471.18576000002</v>
      </c>
      <c r="G2144" s="540">
        <f t="shared" si="1522"/>
        <v>642918.30433600012</v>
      </c>
      <c r="H2144" s="132"/>
    </row>
    <row r="2145" spans="1:8" s="296" customFormat="1" ht="15.75" outlineLevel="2">
      <c r="A2145" s="543"/>
      <c r="B2145" s="543"/>
      <c r="C2145" s="546">
        <v>2211200</v>
      </c>
      <c r="D2145" s="548" t="s">
        <v>53</v>
      </c>
      <c r="E2145" s="554">
        <f>E2146</f>
        <v>650000</v>
      </c>
      <c r="F2145" s="540">
        <f t="shared" ref="F2145:G2145" si="1523">E2145*1.1</f>
        <v>715000</v>
      </c>
      <c r="G2145" s="540">
        <f t="shared" si="1523"/>
        <v>786500.00000000012</v>
      </c>
      <c r="H2145" s="132"/>
    </row>
    <row r="2146" spans="1:8" s="296" customFormat="1" ht="15.75" outlineLevel="2">
      <c r="A2146" s="550"/>
      <c r="B2146" s="550"/>
      <c r="C2146" s="551">
        <v>2211201</v>
      </c>
      <c r="D2146" s="552" t="s">
        <v>91</v>
      </c>
      <c r="E2146" s="555">
        <f>780000-130000</f>
        <v>650000</v>
      </c>
      <c r="F2146" s="540">
        <f t="shared" ref="F2146:G2146" si="1524">E2146*1.1</f>
        <v>715000</v>
      </c>
      <c r="G2146" s="540">
        <f t="shared" si="1524"/>
        <v>786500.00000000012</v>
      </c>
      <c r="H2146" s="132"/>
    </row>
    <row r="2147" spans="1:8" s="296" customFormat="1" ht="15.75" outlineLevel="1">
      <c r="A2147" s="543"/>
      <c r="B2147" s="543"/>
      <c r="C2147" s="546" t="s">
        <v>101</v>
      </c>
      <c r="D2147" s="548"/>
      <c r="E2147" s="521">
        <f>E2145+E2141</f>
        <v>2412154.4416</v>
      </c>
      <c r="F2147" s="540">
        <f t="shared" ref="F2147:G2147" si="1525">E2147*1.1</f>
        <v>2653369.8857600004</v>
      </c>
      <c r="G2147" s="540">
        <f t="shared" si="1525"/>
        <v>2918706.8743360005</v>
      </c>
      <c r="H2147" s="132"/>
    </row>
    <row r="2148" spans="1:8" s="296" customFormat="1" ht="15.75" outlineLevel="1">
      <c r="A2148" s="543"/>
      <c r="B2148" s="543"/>
      <c r="C2148" s="546" t="s">
        <v>589</v>
      </c>
      <c r="D2148" s="548"/>
      <c r="E2148" s="521">
        <f>E2147</f>
        <v>2412154.4416</v>
      </c>
      <c r="F2148" s="540">
        <f t="shared" ref="F2148:G2148" si="1526">E2148*1.1</f>
        <v>2653369.8857600004</v>
      </c>
      <c r="G2148" s="540">
        <f t="shared" si="1526"/>
        <v>2918706.8743360005</v>
      </c>
      <c r="H2148" s="132"/>
    </row>
    <row r="2149" spans="1:8" s="296" customFormat="1" ht="15.75" outlineLevel="1">
      <c r="A2149" s="543"/>
      <c r="B2149" s="543"/>
      <c r="C2149" s="546"/>
      <c r="D2149" s="548"/>
      <c r="E2149" s="521"/>
      <c r="F2149" s="540">
        <f t="shared" ref="F2149:G2149" si="1527">E2149*1.1</f>
        <v>0</v>
      </c>
      <c r="G2149" s="540">
        <f t="shared" si="1527"/>
        <v>0</v>
      </c>
      <c r="H2149" s="132"/>
    </row>
    <row r="2150" spans="1:8" s="296" customFormat="1" ht="15.75" outlineLevel="1">
      <c r="A2150" s="543"/>
      <c r="B2150" s="543"/>
      <c r="C2150" s="546" t="s">
        <v>590</v>
      </c>
      <c r="D2150" s="548"/>
      <c r="E2150" s="521">
        <f>E2147+E2138+E2122+E2113+E2103+E2092+E2076+E2055</f>
        <v>1180956389.9406002</v>
      </c>
      <c r="F2150" s="540">
        <f t="shared" ref="F2150:G2150" si="1528">E2150*1.1</f>
        <v>1299052028.9346602</v>
      </c>
      <c r="G2150" s="540">
        <f t="shared" si="1528"/>
        <v>1428957231.8281264</v>
      </c>
      <c r="H2150" s="132"/>
    </row>
    <row r="2151" spans="1:8" s="296" customFormat="1" ht="15.75" outlineLevel="1">
      <c r="A2151" s="550"/>
      <c r="B2151" s="550"/>
      <c r="C2151" s="546" t="s">
        <v>591</v>
      </c>
      <c r="D2151" s="552"/>
      <c r="E2151" s="521">
        <f>E2081+E2064</f>
        <v>93100000</v>
      </c>
      <c r="F2151" s="540">
        <f t="shared" ref="F2151:G2151" si="1529">E2151*1.1</f>
        <v>102410000.00000001</v>
      </c>
      <c r="G2151" s="540">
        <f t="shared" si="1529"/>
        <v>112651000.00000003</v>
      </c>
      <c r="H2151" s="132"/>
    </row>
    <row r="2152" spans="1:8" s="296" customFormat="1" ht="15.75" outlineLevel="1">
      <c r="A2152" s="543"/>
      <c r="B2152" s="543"/>
      <c r="C2152" s="546" t="s">
        <v>592</v>
      </c>
      <c r="D2152" s="548"/>
      <c r="E2152" s="521">
        <f>E2151+E2150</f>
        <v>1274056389.9406002</v>
      </c>
      <c r="F2152" s="540">
        <f t="shared" ref="F2152:G2152" si="1530">E2152*1.1</f>
        <v>1401462028.9346602</v>
      </c>
      <c r="G2152" s="540">
        <f t="shared" si="1530"/>
        <v>1541608231.8281264</v>
      </c>
      <c r="H2152" s="132"/>
    </row>
    <row r="2153" spans="1:8" s="296" customFormat="1" ht="15.75" outlineLevel="1">
      <c r="A2153" s="550"/>
      <c r="B2153" s="550"/>
      <c r="C2153" s="551"/>
      <c r="D2153" s="552"/>
      <c r="E2153" s="491">
        <v>0</v>
      </c>
      <c r="F2153" s="540">
        <f t="shared" ref="F2153:G2153" si="1531">E2153*1.1</f>
        <v>0</v>
      </c>
      <c r="G2153" s="540">
        <f t="shared" si="1531"/>
        <v>0</v>
      </c>
      <c r="H2153" s="132"/>
    </row>
    <row r="2154" spans="1:8" s="296" customFormat="1" ht="15.75" outlineLevel="1">
      <c r="A2154" s="550"/>
      <c r="B2154" s="550"/>
      <c r="C2154" s="546" t="s">
        <v>593</v>
      </c>
      <c r="D2154" s="547"/>
      <c r="E2154" s="491">
        <v>0</v>
      </c>
      <c r="F2154" s="540">
        <f t="shared" ref="F2154:G2154" si="1532">E2154*1.1</f>
        <v>0</v>
      </c>
      <c r="G2154" s="540">
        <f t="shared" si="1532"/>
        <v>0</v>
      </c>
      <c r="H2154" s="132"/>
    </row>
    <row r="2155" spans="1:8" s="296" customFormat="1" ht="15.75" outlineLevel="1">
      <c r="A2155" s="543"/>
      <c r="B2155" s="543"/>
      <c r="C2155" s="543" t="s">
        <v>594</v>
      </c>
      <c r="D2155" s="548"/>
      <c r="E2155" s="491">
        <v>0</v>
      </c>
      <c r="F2155" s="540">
        <f t="shared" ref="F2155:G2155" si="1533">E2155*1.1</f>
        <v>0</v>
      </c>
      <c r="G2155" s="540">
        <f t="shared" si="1533"/>
        <v>0</v>
      </c>
      <c r="H2155" s="132"/>
    </row>
    <row r="2156" spans="1:8" s="296" customFormat="1" ht="15.75" outlineLevel="1">
      <c r="A2156" s="543"/>
      <c r="B2156" s="550"/>
      <c r="C2156" s="551"/>
      <c r="D2156" s="552"/>
      <c r="E2156" s="491">
        <v>0</v>
      </c>
      <c r="F2156" s="540">
        <f t="shared" ref="F2156:G2156" si="1534">E2156*1.1</f>
        <v>0</v>
      </c>
      <c r="G2156" s="540">
        <f t="shared" si="1534"/>
        <v>0</v>
      </c>
      <c r="H2156" s="132"/>
    </row>
    <row r="2157" spans="1:8" s="296" customFormat="1" ht="15.75" outlineLevel="1">
      <c r="A2157" s="556" t="s">
        <v>595</v>
      </c>
      <c r="B2157" s="543" t="s">
        <v>98</v>
      </c>
      <c r="C2157" s="543" t="s">
        <v>596</v>
      </c>
      <c r="D2157" s="544"/>
      <c r="E2157" s="491">
        <v>0</v>
      </c>
      <c r="F2157" s="540">
        <f t="shared" ref="F2157:G2157" si="1535">E2157*1.1</f>
        <v>0</v>
      </c>
      <c r="G2157" s="540">
        <f t="shared" si="1535"/>
        <v>0</v>
      </c>
      <c r="H2157" s="132"/>
    </row>
    <row r="2158" spans="1:8" s="296" customFormat="1" ht="15.75" outlineLevel="3">
      <c r="A2158" s="543"/>
      <c r="B2158" s="543"/>
      <c r="C2158" s="546">
        <v>2110100</v>
      </c>
      <c r="D2158" s="548" t="s">
        <v>13</v>
      </c>
      <c r="E2158" s="554">
        <f>E2159</f>
        <v>808413144</v>
      </c>
      <c r="F2158" s="540">
        <f t="shared" ref="F2158:G2158" si="1536">E2158*1.1</f>
        <v>889254458.4000001</v>
      </c>
      <c r="G2158" s="540">
        <f t="shared" si="1536"/>
        <v>978179904.24000013</v>
      </c>
      <c r="H2158" s="132"/>
    </row>
    <row r="2159" spans="1:8" s="296" customFormat="1" ht="15.75" outlineLevel="3">
      <c r="A2159" s="550"/>
      <c r="B2159" s="550"/>
      <c r="C2159" s="551">
        <v>2110101</v>
      </c>
      <c r="D2159" s="552" t="s">
        <v>14</v>
      </c>
      <c r="E2159" s="555">
        <v>808413144</v>
      </c>
      <c r="F2159" s="540">
        <f t="shared" ref="F2159:G2159" si="1537">E2159*1.1</f>
        <v>889254458.4000001</v>
      </c>
      <c r="G2159" s="540">
        <f t="shared" si="1537"/>
        <v>978179904.24000013</v>
      </c>
      <c r="H2159" s="132"/>
    </row>
    <row r="2160" spans="1:8" s="296" customFormat="1" ht="15.75" outlineLevel="3">
      <c r="A2160" s="543"/>
      <c r="B2160" s="543"/>
      <c r="C2160" s="546">
        <v>2110200</v>
      </c>
      <c r="D2160" s="548" t="s">
        <v>155</v>
      </c>
      <c r="E2160" s="554">
        <f>E2161</f>
        <v>1200000</v>
      </c>
      <c r="F2160" s="540">
        <f t="shared" ref="F2160:G2160" si="1538">E2160*1.1</f>
        <v>1320000</v>
      </c>
      <c r="G2160" s="540">
        <f t="shared" si="1538"/>
        <v>1452000.0000000002</v>
      </c>
      <c r="H2160" s="132"/>
    </row>
    <row r="2161" spans="1:8" s="296" customFormat="1" ht="15.75" outlineLevel="3">
      <c r="A2161" s="543"/>
      <c r="B2161" s="543"/>
      <c r="C2161" s="551">
        <v>2110202</v>
      </c>
      <c r="D2161" s="552" t="s">
        <v>597</v>
      </c>
      <c r="E2161" s="555">
        <v>1200000</v>
      </c>
      <c r="F2161" s="540">
        <f t="shared" ref="F2161:G2161" si="1539">E2161*1.1</f>
        <v>1320000</v>
      </c>
      <c r="G2161" s="540">
        <f t="shared" si="1539"/>
        <v>1452000.0000000002</v>
      </c>
      <c r="H2161" s="132"/>
    </row>
    <row r="2162" spans="1:8" s="296" customFormat="1" ht="15.75" outlineLevel="3">
      <c r="A2162" s="543"/>
      <c r="B2162" s="543"/>
      <c r="C2162" s="546">
        <v>2210200</v>
      </c>
      <c r="D2162" s="548" t="s">
        <v>19</v>
      </c>
      <c r="E2162" s="554">
        <f>E2163+E2164</f>
        <v>129197.842</v>
      </c>
      <c r="F2162" s="540">
        <f t="shared" ref="F2162:G2162" si="1540">E2162*1.1</f>
        <v>142117.62620000003</v>
      </c>
      <c r="G2162" s="540">
        <f t="shared" si="1540"/>
        <v>156329.38882000005</v>
      </c>
      <c r="H2162" s="132"/>
    </row>
    <row r="2163" spans="1:8" s="296" customFormat="1" ht="15.75" outlineLevel="3">
      <c r="A2163" s="550"/>
      <c r="B2163" s="550"/>
      <c r="C2163" s="551">
        <v>2210201</v>
      </c>
      <c r="D2163" s="552" t="s">
        <v>236</v>
      </c>
      <c r="E2163" s="555">
        <v>116000</v>
      </c>
      <c r="F2163" s="540">
        <f t="shared" ref="F2163:G2163" si="1541">E2163*1.1</f>
        <v>127600.00000000001</v>
      </c>
      <c r="G2163" s="540">
        <f t="shared" si="1541"/>
        <v>140360.00000000003</v>
      </c>
      <c r="H2163" s="132"/>
    </row>
    <row r="2164" spans="1:8" s="296" customFormat="1" ht="15.75" outlineLevel="3">
      <c r="A2164" s="543"/>
      <c r="B2164" s="543"/>
      <c r="C2164" s="551">
        <v>2210202</v>
      </c>
      <c r="D2164" s="552" t="s">
        <v>21</v>
      </c>
      <c r="E2164" s="555">
        <v>13197.842000000001</v>
      </c>
      <c r="F2164" s="540">
        <f t="shared" ref="F2164:G2164" si="1542">E2164*1.1</f>
        <v>14517.626200000002</v>
      </c>
      <c r="G2164" s="540">
        <f t="shared" si="1542"/>
        <v>15969.388820000004</v>
      </c>
      <c r="H2164" s="132"/>
    </row>
    <row r="2165" spans="1:8" s="296" customFormat="1" ht="30" outlineLevel="3">
      <c r="A2165" s="550"/>
      <c r="B2165" s="550"/>
      <c r="C2165" s="546">
        <v>2210300</v>
      </c>
      <c r="D2165" s="548" t="s">
        <v>23</v>
      </c>
      <c r="E2165" s="554">
        <f>E2166+E2167</f>
        <v>4371428</v>
      </c>
      <c r="F2165" s="540">
        <f t="shared" ref="F2165:G2165" si="1543">E2165*1.1</f>
        <v>4808570.8000000007</v>
      </c>
      <c r="G2165" s="540">
        <f t="shared" si="1543"/>
        <v>5289427.8800000008</v>
      </c>
      <c r="H2165" s="132"/>
    </row>
    <row r="2166" spans="1:8" s="296" customFormat="1" ht="15.75" outlineLevel="3">
      <c r="A2166" s="543"/>
      <c r="B2166" s="543"/>
      <c r="C2166" s="551">
        <v>2210301</v>
      </c>
      <c r="D2166" s="552" t="s">
        <v>598</v>
      </c>
      <c r="E2166" s="555">
        <f>3580000-180000-1000000-500000+1300000-950000</f>
        <v>2250000</v>
      </c>
      <c r="F2166" s="540">
        <f t="shared" ref="F2166:G2166" si="1544">E2166*1.1</f>
        <v>2475000</v>
      </c>
      <c r="G2166" s="540">
        <f t="shared" si="1544"/>
        <v>2722500</v>
      </c>
      <c r="H2166" s="132"/>
    </row>
    <row r="2167" spans="1:8" s="296" customFormat="1" ht="15.75" outlineLevel="3">
      <c r="A2167" s="550"/>
      <c r="B2167" s="550"/>
      <c r="C2167" s="551">
        <v>2210303</v>
      </c>
      <c r="D2167" s="552" t="s">
        <v>599</v>
      </c>
      <c r="E2167" s="555">
        <f>998234+1180000-500000+943194-500000</f>
        <v>2121428</v>
      </c>
      <c r="F2167" s="540">
        <f t="shared" ref="F2167:G2167" si="1545">E2167*1.1</f>
        <v>2333570.8000000003</v>
      </c>
      <c r="G2167" s="540">
        <f t="shared" si="1545"/>
        <v>2566927.8800000004</v>
      </c>
      <c r="H2167" s="132"/>
    </row>
    <row r="2168" spans="1:8" s="296" customFormat="1" ht="30" outlineLevel="3">
      <c r="A2168" s="550"/>
      <c r="B2168" s="550"/>
      <c r="C2168" s="546">
        <v>2210400</v>
      </c>
      <c r="D2168" s="548" t="s">
        <v>209</v>
      </c>
      <c r="E2168" s="554">
        <f>E2169+E2170</f>
        <v>439999.73</v>
      </c>
      <c r="F2168" s="540">
        <f t="shared" ref="F2168:G2168" si="1546">E2168*1.1</f>
        <v>483999.70300000004</v>
      </c>
      <c r="G2168" s="540">
        <f t="shared" si="1546"/>
        <v>532399.67330000014</v>
      </c>
      <c r="H2168" s="132"/>
    </row>
    <row r="2169" spans="1:8" s="296" customFormat="1" ht="15.75" outlineLevel="3">
      <c r="A2169" s="550"/>
      <c r="B2169" s="550"/>
      <c r="C2169" s="551">
        <v>2210403</v>
      </c>
      <c r="D2169" s="552" t="s">
        <v>599</v>
      </c>
      <c r="E2169" s="555">
        <f>161766+150000</f>
        <v>311766</v>
      </c>
      <c r="F2169" s="540">
        <f t="shared" ref="F2169:G2169" si="1547">E2169*1.1</f>
        <v>342942.60000000003</v>
      </c>
      <c r="G2169" s="540">
        <f t="shared" si="1547"/>
        <v>377236.86000000004</v>
      </c>
      <c r="H2169" s="132"/>
    </row>
    <row r="2170" spans="1:8" s="296" customFormat="1" ht="15.75" outlineLevel="3">
      <c r="A2170" s="550"/>
      <c r="B2170" s="550"/>
      <c r="C2170" s="551">
        <v>2210404</v>
      </c>
      <c r="D2170" s="552" t="s">
        <v>27</v>
      </c>
      <c r="E2170" s="555">
        <f>98233.73+30000</f>
        <v>128233.73</v>
      </c>
      <c r="F2170" s="540">
        <f t="shared" ref="F2170:G2170" si="1548">E2170*1.1</f>
        <v>141057.103</v>
      </c>
      <c r="G2170" s="540">
        <f t="shared" si="1548"/>
        <v>155162.81330000001</v>
      </c>
      <c r="H2170" s="132"/>
    </row>
    <row r="2171" spans="1:8" s="296" customFormat="1" ht="15.75" outlineLevel="3">
      <c r="A2171" s="543"/>
      <c r="B2171" s="543"/>
      <c r="C2171" s="546">
        <v>2210500</v>
      </c>
      <c r="D2171" s="548" t="s">
        <v>30</v>
      </c>
      <c r="E2171" s="554">
        <f>E2172+E2173</f>
        <v>1116000</v>
      </c>
      <c r="F2171" s="540">
        <f t="shared" ref="F2171:G2171" si="1549">E2171*1.1</f>
        <v>1227600</v>
      </c>
      <c r="G2171" s="540">
        <f t="shared" si="1549"/>
        <v>1350360</v>
      </c>
      <c r="H2171" s="132"/>
    </row>
    <row r="2172" spans="1:8" s="296" customFormat="1" ht="15.75" outlineLevel="3">
      <c r="A2172" s="543"/>
      <c r="B2172" s="543"/>
      <c r="C2172" s="551">
        <v>2210502</v>
      </c>
      <c r="D2172" s="552" t="s">
        <v>502</v>
      </c>
      <c r="E2172" s="555">
        <f>116000+500000</f>
        <v>616000</v>
      </c>
      <c r="F2172" s="540">
        <f t="shared" ref="F2172:G2172" si="1550">E2172*1.1</f>
        <v>677600</v>
      </c>
      <c r="G2172" s="540">
        <f t="shared" si="1550"/>
        <v>745360.00000000012</v>
      </c>
      <c r="H2172" s="132"/>
    </row>
    <row r="2173" spans="1:8" s="296" customFormat="1" ht="30" outlineLevel="3">
      <c r="A2173" s="543"/>
      <c r="B2173" s="543"/>
      <c r="C2173" s="551">
        <v>2210504</v>
      </c>
      <c r="D2173" s="552" t="s">
        <v>600</v>
      </c>
      <c r="E2173" s="555">
        <v>500000</v>
      </c>
      <c r="F2173" s="540">
        <f t="shared" ref="F2173:G2173" si="1551">E2173*1.1</f>
        <v>550000</v>
      </c>
      <c r="G2173" s="540">
        <f t="shared" si="1551"/>
        <v>605000</v>
      </c>
      <c r="H2173" s="132"/>
    </row>
    <row r="2174" spans="1:8" s="296" customFormat="1" ht="15.75" outlineLevel="3">
      <c r="A2174" s="543"/>
      <c r="B2174" s="543"/>
      <c r="C2174" s="546">
        <v>2210700</v>
      </c>
      <c r="D2174" s="548" t="s">
        <v>34</v>
      </c>
      <c r="E2174" s="554">
        <f>E2175+E2176+E2177+E2178+E2179</f>
        <v>2550000</v>
      </c>
      <c r="F2174" s="540">
        <f t="shared" ref="F2174:G2174" si="1552">E2174*1.1</f>
        <v>2805000</v>
      </c>
      <c r="G2174" s="540">
        <f t="shared" si="1552"/>
        <v>3085500.0000000005</v>
      </c>
      <c r="H2174" s="132"/>
    </row>
    <row r="2175" spans="1:8" s="296" customFormat="1" ht="15.75" outlineLevel="3">
      <c r="A2175" s="543"/>
      <c r="B2175" s="543"/>
      <c r="C2175" s="551">
        <v>2210710</v>
      </c>
      <c r="D2175" s="552" t="s">
        <v>38</v>
      </c>
      <c r="E2175" s="555">
        <f>87000+76000+500000</f>
        <v>663000</v>
      </c>
      <c r="F2175" s="540">
        <f t="shared" ref="F2175:G2175" si="1553">E2175*1.1</f>
        <v>729300.00000000012</v>
      </c>
      <c r="G2175" s="540">
        <f t="shared" si="1553"/>
        <v>802230.00000000023</v>
      </c>
      <c r="H2175" s="132"/>
    </row>
    <row r="2176" spans="1:8" s="296" customFormat="1" ht="15.75" outlineLevel="3">
      <c r="A2176" s="543"/>
      <c r="B2176" s="543"/>
      <c r="C2176" s="551">
        <v>2210711</v>
      </c>
      <c r="D2176" s="552" t="s">
        <v>505</v>
      </c>
      <c r="E2176" s="555">
        <f>790000-150000</f>
        <v>640000</v>
      </c>
      <c r="F2176" s="540">
        <f t="shared" ref="F2176:G2176" si="1554">E2176*1.1</f>
        <v>704000</v>
      </c>
      <c r="G2176" s="540">
        <f t="shared" si="1554"/>
        <v>774400.00000000012</v>
      </c>
      <c r="H2176" s="132"/>
    </row>
    <row r="2177" spans="1:8" s="296" customFormat="1" ht="15.75" outlineLevel="3">
      <c r="A2177" s="543"/>
      <c r="B2177" s="543"/>
      <c r="C2177" s="551">
        <v>2210712</v>
      </c>
      <c r="D2177" s="552" t="s">
        <v>417</v>
      </c>
      <c r="E2177" s="555">
        <f>645000-200000</f>
        <v>445000</v>
      </c>
      <c r="F2177" s="540">
        <f t="shared" ref="F2177:G2177" si="1555">E2177*1.1</f>
        <v>489500.00000000006</v>
      </c>
      <c r="G2177" s="540">
        <f t="shared" si="1555"/>
        <v>538450.00000000012</v>
      </c>
      <c r="H2177" s="132"/>
    </row>
    <row r="2178" spans="1:8" s="296" customFormat="1" ht="15.75" outlineLevel="3">
      <c r="A2178" s="543"/>
      <c r="B2178" s="543"/>
      <c r="C2178" s="551">
        <v>2210715</v>
      </c>
      <c r="D2178" s="552" t="s">
        <v>39</v>
      </c>
      <c r="E2178" s="555">
        <f>804000-200000</f>
        <v>604000</v>
      </c>
      <c r="F2178" s="540">
        <f t="shared" ref="F2178:G2178" si="1556">E2178*1.1</f>
        <v>664400</v>
      </c>
      <c r="G2178" s="540">
        <f t="shared" si="1556"/>
        <v>730840.00000000012</v>
      </c>
      <c r="H2178" s="132"/>
    </row>
    <row r="2179" spans="1:8" s="296" customFormat="1" ht="15.75" outlineLevel="3">
      <c r="A2179" s="543"/>
      <c r="B2179" s="543"/>
      <c r="C2179" s="551">
        <v>2210799</v>
      </c>
      <c r="D2179" s="552" t="s">
        <v>506</v>
      </c>
      <c r="E2179" s="555">
        <f>174000-76000+100000</f>
        <v>198000</v>
      </c>
      <c r="F2179" s="540">
        <f t="shared" ref="F2179:G2179" si="1557">E2179*1.1</f>
        <v>217800.00000000003</v>
      </c>
      <c r="G2179" s="540">
        <f t="shared" si="1557"/>
        <v>239580.00000000006</v>
      </c>
      <c r="H2179" s="132"/>
    </row>
    <row r="2180" spans="1:8" s="296" customFormat="1" ht="15.75" outlineLevel="3">
      <c r="A2180" s="543"/>
      <c r="B2180" s="543"/>
      <c r="C2180" s="546">
        <v>2210800</v>
      </c>
      <c r="D2180" s="548" t="s">
        <v>41</v>
      </c>
      <c r="E2180" s="549">
        <f>E2181+E2182</f>
        <v>1350000</v>
      </c>
      <c r="F2180" s="540">
        <f t="shared" ref="F2180:G2180" si="1558">E2180*1.1</f>
        <v>1485000.0000000002</v>
      </c>
      <c r="G2180" s="540">
        <f t="shared" si="1558"/>
        <v>1633500.0000000005</v>
      </c>
      <c r="H2180" s="132"/>
    </row>
    <row r="2181" spans="1:8" s="296" customFormat="1" ht="15.75" outlineLevel="3">
      <c r="A2181" s="543"/>
      <c r="B2181" s="543"/>
      <c r="C2181" s="551">
        <v>2210802</v>
      </c>
      <c r="D2181" s="552" t="s">
        <v>86</v>
      </c>
      <c r="E2181" s="555">
        <f>640000-140000+200000</f>
        <v>700000</v>
      </c>
      <c r="F2181" s="540">
        <f t="shared" ref="F2181:G2181" si="1559">E2181*1.1</f>
        <v>770000.00000000012</v>
      </c>
      <c r="G2181" s="540">
        <f t="shared" si="1559"/>
        <v>847000.00000000023</v>
      </c>
      <c r="H2181" s="132"/>
    </row>
    <row r="2182" spans="1:8" s="296" customFormat="1" ht="30" outlineLevel="3">
      <c r="A2182" s="543"/>
      <c r="B2182" s="543"/>
      <c r="C2182" s="551">
        <v>2210803</v>
      </c>
      <c r="D2182" s="552" t="s">
        <v>112</v>
      </c>
      <c r="E2182" s="555">
        <f>1600000-700000-250000</f>
        <v>650000</v>
      </c>
      <c r="F2182" s="540">
        <f t="shared" ref="F2182:G2182" si="1560">E2182*1.1</f>
        <v>715000</v>
      </c>
      <c r="G2182" s="540">
        <f t="shared" si="1560"/>
        <v>786500.00000000012</v>
      </c>
      <c r="H2182" s="132"/>
    </row>
    <row r="2183" spans="1:8" s="296" customFormat="1" ht="15.75" outlineLevel="3">
      <c r="A2183" s="543"/>
      <c r="B2183" s="543"/>
      <c r="C2183" s="546">
        <v>2211000</v>
      </c>
      <c r="D2183" s="548" t="s">
        <v>173</v>
      </c>
      <c r="E2183" s="554">
        <f>E2184+E2185+E2186</f>
        <v>293660092</v>
      </c>
      <c r="F2183" s="540">
        <f t="shared" ref="F2183:G2183" si="1561">E2183*1.1</f>
        <v>323026101.20000005</v>
      </c>
      <c r="G2183" s="540">
        <f t="shared" si="1561"/>
        <v>355328711.32000005</v>
      </c>
      <c r="H2183" s="132"/>
    </row>
    <row r="2184" spans="1:8" s="296" customFormat="1" ht="15.75" outlineLevel="3">
      <c r="A2184" s="543"/>
      <c r="B2184" s="543"/>
      <c r="C2184" s="551">
        <v>2211001</v>
      </c>
      <c r="D2184" s="552" t="s">
        <v>601</v>
      </c>
      <c r="E2184" s="555">
        <v>100500000</v>
      </c>
      <c r="F2184" s="540">
        <f t="shared" ref="F2184:G2184" si="1562">E2184*1.1</f>
        <v>110550000.00000001</v>
      </c>
      <c r="G2184" s="540">
        <f t="shared" si="1562"/>
        <v>121605000.00000003</v>
      </c>
      <c r="H2184" s="132"/>
    </row>
    <row r="2185" spans="1:8" s="296" customFormat="1" ht="15.75" outlineLevel="3">
      <c r="A2185" s="543"/>
      <c r="B2185" s="543"/>
      <c r="C2185" s="551">
        <v>2211002</v>
      </c>
      <c r="D2185" s="552" t="s">
        <v>602</v>
      </c>
      <c r="E2185" s="555">
        <v>93160092</v>
      </c>
      <c r="F2185" s="540">
        <f t="shared" ref="F2185:G2185" si="1563">E2185*1.1</f>
        <v>102476101.2</v>
      </c>
      <c r="G2185" s="540">
        <f t="shared" si="1563"/>
        <v>112723711.32000001</v>
      </c>
      <c r="H2185" s="132"/>
    </row>
    <row r="2186" spans="1:8" s="296" customFormat="1" ht="30" outlineLevel="3">
      <c r="A2186" s="543"/>
      <c r="B2186" s="543"/>
      <c r="C2186" s="551">
        <v>2211031</v>
      </c>
      <c r="D2186" s="552" t="s">
        <v>603</v>
      </c>
      <c r="E2186" s="555">
        <v>100000000</v>
      </c>
      <c r="F2186" s="540">
        <f t="shared" ref="F2186:G2186" si="1564">E2186*1.1</f>
        <v>110000000.00000001</v>
      </c>
      <c r="G2186" s="540">
        <f t="shared" si="1564"/>
        <v>121000000.00000003</v>
      </c>
      <c r="H2186" s="132"/>
    </row>
    <row r="2187" spans="1:8" s="296" customFormat="1" ht="15.75" outlineLevel="3">
      <c r="A2187" s="543"/>
      <c r="B2187" s="543"/>
      <c r="C2187" s="546">
        <v>2211100</v>
      </c>
      <c r="D2187" s="548" t="s">
        <v>49</v>
      </c>
      <c r="E2187" s="554">
        <f>SUM(E2188:E2190)</f>
        <v>885517.77399999998</v>
      </c>
      <c r="F2187" s="540">
        <f t="shared" ref="F2187:G2187" si="1565">E2187*1.1</f>
        <v>974069.5514</v>
      </c>
      <c r="G2187" s="540">
        <f t="shared" si="1565"/>
        <v>1071476.50654</v>
      </c>
      <c r="H2187" s="132"/>
    </row>
    <row r="2188" spans="1:8" s="296" customFormat="1" ht="30" outlineLevel="3">
      <c r="A2188" s="543"/>
      <c r="B2188" s="543"/>
      <c r="C2188" s="551">
        <v>2211101</v>
      </c>
      <c r="D2188" s="552" t="s">
        <v>50</v>
      </c>
      <c r="E2188" s="555">
        <f>278357.54+300000+85518-200000</f>
        <v>463875.54000000004</v>
      </c>
      <c r="F2188" s="540">
        <f t="shared" ref="F2188:G2188" si="1566">E2188*1.1</f>
        <v>510263.0940000001</v>
      </c>
      <c r="G2188" s="540">
        <f t="shared" si="1566"/>
        <v>561289.40340000018</v>
      </c>
      <c r="H2188" s="132"/>
    </row>
    <row r="2189" spans="1:8" s="296" customFormat="1" ht="15.75" outlineLevel="3">
      <c r="A2189" s="543"/>
      <c r="B2189" s="543"/>
      <c r="C2189" s="551">
        <v>2211102</v>
      </c>
      <c r="D2189" s="552" t="s">
        <v>51</v>
      </c>
      <c r="E2189" s="555">
        <f>161136.234+200000</f>
        <v>361136.234</v>
      </c>
      <c r="F2189" s="540">
        <f t="shared" ref="F2189:G2189" si="1567">E2189*1.1</f>
        <v>397249.85740000004</v>
      </c>
      <c r="G2189" s="540">
        <f t="shared" si="1567"/>
        <v>436974.84314000007</v>
      </c>
      <c r="H2189" s="132"/>
    </row>
    <row r="2190" spans="1:8" s="296" customFormat="1" ht="15.75" outlineLevel="3">
      <c r="A2190" s="550"/>
      <c r="B2190" s="550"/>
      <c r="C2190" s="551">
        <v>2211103</v>
      </c>
      <c r="D2190" s="552" t="s">
        <v>508</v>
      </c>
      <c r="E2190" s="555">
        <f>43500+17006</f>
        <v>60506</v>
      </c>
      <c r="F2190" s="540">
        <f t="shared" ref="F2190:G2190" si="1568">E2190*1.1</f>
        <v>66556.600000000006</v>
      </c>
      <c r="G2190" s="540">
        <f t="shared" si="1568"/>
        <v>73212.260000000009</v>
      </c>
      <c r="H2190" s="132"/>
    </row>
    <row r="2191" spans="1:8" s="296" customFormat="1" ht="15.75" outlineLevel="3">
      <c r="A2191" s="550"/>
      <c r="B2191" s="550"/>
      <c r="C2191" s="546">
        <v>2211200</v>
      </c>
      <c r="D2191" s="548" t="s">
        <v>53</v>
      </c>
      <c r="E2191" s="554">
        <f>E2192</f>
        <v>2450000</v>
      </c>
      <c r="F2191" s="540">
        <f t="shared" ref="F2191:G2191" si="1569">E2191*1.1</f>
        <v>2695000</v>
      </c>
      <c r="G2191" s="540">
        <f t="shared" si="1569"/>
        <v>2964500.0000000005</v>
      </c>
      <c r="H2191" s="132"/>
    </row>
    <row r="2192" spans="1:8" s="296" customFormat="1" ht="15.75" outlineLevel="3">
      <c r="A2192" s="550"/>
      <c r="B2192" s="550"/>
      <c r="C2192" s="551">
        <v>2211201</v>
      </c>
      <c r="D2192" s="552" t="s">
        <v>91</v>
      </c>
      <c r="E2192" s="555">
        <f>3500000-1550000+500000</f>
        <v>2450000</v>
      </c>
      <c r="F2192" s="540">
        <f t="shared" ref="F2192:G2192" si="1570">E2192*1.1</f>
        <v>2695000</v>
      </c>
      <c r="G2192" s="540">
        <f t="shared" si="1570"/>
        <v>2964500.0000000005</v>
      </c>
      <c r="H2192" s="132"/>
    </row>
    <row r="2193" spans="1:8" s="296" customFormat="1" ht="30" outlineLevel="3">
      <c r="A2193" s="543"/>
      <c r="B2193" s="543"/>
      <c r="C2193" s="546">
        <v>2220100</v>
      </c>
      <c r="D2193" s="548" t="s">
        <v>61</v>
      </c>
      <c r="E2193" s="554">
        <f>E2194+E2195</f>
        <v>999998.6</v>
      </c>
      <c r="F2193" s="540">
        <f t="shared" ref="F2193:G2193" si="1571">E2193*1.1</f>
        <v>1099998.46</v>
      </c>
      <c r="G2193" s="540">
        <f t="shared" si="1571"/>
        <v>1209998.3060000001</v>
      </c>
      <c r="H2193" s="132"/>
    </row>
    <row r="2194" spans="1:8" s="296" customFormat="1" ht="15.75" outlineLevel="3">
      <c r="A2194" s="543"/>
      <c r="B2194" s="543"/>
      <c r="C2194" s="551">
        <v>2220101</v>
      </c>
      <c r="D2194" s="552" t="s">
        <v>604</v>
      </c>
      <c r="E2194" s="555">
        <f>737748+500000-500000</f>
        <v>737748</v>
      </c>
      <c r="F2194" s="540">
        <f t="shared" ref="F2194:G2194" si="1572">E2194*1.1</f>
        <v>811522.8</v>
      </c>
      <c r="G2194" s="540">
        <f t="shared" si="1572"/>
        <v>892675.08000000007</v>
      </c>
      <c r="H2194" s="132"/>
    </row>
    <row r="2195" spans="1:8" s="296" customFormat="1" ht="15.75" outlineLevel="3">
      <c r="A2195" s="543"/>
      <c r="B2195" s="543"/>
      <c r="C2195" s="551">
        <v>2220105</v>
      </c>
      <c r="D2195" s="552" t="s">
        <v>93</v>
      </c>
      <c r="E2195" s="555">
        <f>962250.6-600000-100000+300000-300000</f>
        <v>262250.59999999998</v>
      </c>
      <c r="F2195" s="540">
        <f t="shared" ref="F2195:G2195" si="1573">E2195*1.1</f>
        <v>288475.65999999997</v>
      </c>
      <c r="G2195" s="540">
        <f t="shared" si="1573"/>
        <v>317323.22600000002</v>
      </c>
      <c r="H2195" s="132"/>
    </row>
    <row r="2196" spans="1:8" s="296" customFormat="1" ht="15.75" outlineLevel="3">
      <c r="A2196" s="543"/>
      <c r="B2196" s="543"/>
      <c r="C2196" s="546">
        <v>2220200</v>
      </c>
      <c r="D2196" s="548" t="s">
        <v>94</v>
      </c>
      <c r="E2196" s="554">
        <f>E2197+E2198</f>
        <v>4470118.0539999995</v>
      </c>
      <c r="F2196" s="540">
        <f t="shared" ref="F2196:G2196" si="1574">E2196*1.1</f>
        <v>4917129.8593999995</v>
      </c>
      <c r="G2196" s="540">
        <f t="shared" si="1574"/>
        <v>5408842.8453399995</v>
      </c>
      <c r="H2196" s="132"/>
    </row>
    <row r="2197" spans="1:8" s="296" customFormat="1" ht="75" outlineLevel="3">
      <c r="A2197" s="543"/>
      <c r="B2197" s="543"/>
      <c r="C2197" s="551" t="s">
        <v>605</v>
      </c>
      <c r="D2197" s="570" t="s">
        <v>606</v>
      </c>
      <c r="E2197" s="555">
        <f>5286422-845612-100000</f>
        <v>4340810</v>
      </c>
      <c r="F2197" s="540">
        <f t="shared" ref="F2197:G2197" si="1575">E2197*1.1</f>
        <v>4774891</v>
      </c>
      <c r="G2197" s="540">
        <f t="shared" si="1575"/>
        <v>5252380.1000000006</v>
      </c>
      <c r="H2197" s="132"/>
    </row>
    <row r="2198" spans="1:8" s="296" customFormat="1" ht="15.75" outlineLevel="3">
      <c r="A2198" s="543"/>
      <c r="B2198" s="543"/>
      <c r="C2198" s="551">
        <v>2220205</v>
      </c>
      <c r="D2198" s="552" t="s">
        <v>180</v>
      </c>
      <c r="E2198" s="555">
        <f>29307.82+0.234+100000</f>
        <v>129308.054</v>
      </c>
      <c r="F2198" s="540">
        <f t="shared" ref="F2198:G2198" si="1576">E2198*1.1</f>
        <v>142238.85940000002</v>
      </c>
      <c r="G2198" s="540">
        <f t="shared" si="1576"/>
        <v>156462.74534000002</v>
      </c>
      <c r="H2198" s="132"/>
    </row>
    <row r="2199" spans="1:8" s="296" customFormat="1" ht="15.75" outlineLevel="3">
      <c r="A2199" s="543"/>
      <c r="B2199" s="543"/>
      <c r="C2199" s="546">
        <v>3111000</v>
      </c>
      <c r="D2199" s="548" t="s">
        <v>65</v>
      </c>
      <c r="E2199" s="554">
        <f>E2200+E2201</f>
        <v>1200000</v>
      </c>
      <c r="F2199" s="540">
        <f t="shared" ref="F2199:G2199" si="1577">E2199*1.1</f>
        <v>1320000</v>
      </c>
      <c r="G2199" s="540">
        <f t="shared" si="1577"/>
        <v>1452000.0000000002</v>
      </c>
      <c r="H2199" s="132"/>
    </row>
    <row r="2200" spans="1:8" s="296" customFormat="1" ht="15.75" outlineLevel="3">
      <c r="A2200" s="543"/>
      <c r="B2200" s="543"/>
      <c r="C2200" s="512">
        <v>3111001</v>
      </c>
      <c r="D2200" s="557" t="s">
        <v>66</v>
      </c>
      <c r="E2200" s="555">
        <f>950000-400000</f>
        <v>550000</v>
      </c>
      <c r="F2200" s="540">
        <f t="shared" ref="F2200:G2200" si="1578">E2200*1.1</f>
        <v>605000</v>
      </c>
      <c r="G2200" s="540">
        <f t="shared" si="1578"/>
        <v>665500</v>
      </c>
      <c r="H2200" s="132"/>
    </row>
    <row r="2201" spans="1:8" s="296" customFormat="1" ht="15.75" outlineLevel="3">
      <c r="A2201" s="543"/>
      <c r="B2201" s="543"/>
      <c r="C2201" s="551">
        <v>3111002</v>
      </c>
      <c r="D2201" s="571" t="s">
        <v>607</v>
      </c>
      <c r="E2201" s="555">
        <f>1150000-500000</f>
        <v>650000</v>
      </c>
      <c r="F2201" s="540">
        <f t="shared" ref="F2201:G2201" si="1579">E2201*1.1</f>
        <v>715000</v>
      </c>
      <c r="G2201" s="540">
        <f t="shared" si="1579"/>
        <v>786500.00000000012</v>
      </c>
      <c r="H2201" s="132"/>
    </row>
    <row r="2202" spans="1:8" s="296" customFormat="1" ht="15.75" outlineLevel="2">
      <c r="A2202" s="543"/>
      <c r="B2202" s="543"/>
      <c r="C2202" s="546" t="s">
        <v>101</v>
      </c>
      <c r="D2202" s="548"/>
      <c r="E2202" s="521">
        <f>E2199+E2196+E2193+E2191+E2187+E2183+E2180+E2174+E2171+E2168+E2165+E2162+E2160+E2158</f>
        <v>1123235496</v>
      </c>
      <c r="F2202" s="540">
        <f t="shared" ref="F2202:G2202" si="1580">E2202*1.1</f>
        <v>1235559045.6000001</v>
      </c>
      <c r="G2202" s="540">
        <f t="shared" si="1580"/>
        <v>1359114950.1600003</v>
      </c>
      <c r="H2202" s="132"/>
    </row>
    <row r="2203" spans="1:8" s="296" customFormat="1" ht="15.75" outlineLevel="2">
      <c r="A2203" s="543"/>
      <c r="B2203" s="543"/>
      <c r="C2203" s="546"/>
      <c r="D2203" s="548"/>
      <c r="E2203" s="491">
        <v>0</v>
      </c>
      <c r="F2203" s="540">
        <f t="shared" ref="F2203:G2203" si="1581">E2203*1.1</f>
        <v>0</v>
      </c>
      <c r="G2203" s="540">
        <f t="shared" si="1581"/>
        <v>0</v>
      </c>
      <c r="H2203" s="132"/>
    </row>
    <row r="2204" spans="1:8" s="296" customFormat="1" ht="15.75" outlineLevel="2">
      <c r="A2204" s="550"/>
      <c r="B2204" s="550"/>
      <c r="C2204" s="546" t="s">
        <v>608</v>
      </c>
      <c r="D2204" s="552"/>
      <c r="E2204" s="491">
        <v>0</v>
      </c>
      <c r="F2204" s="540">
        <f t="shared" ref="F2204:G2204" si="1582">E2204*1.1</f>
        <v>0</v>
      </c>
      <c r="G2204" s="540">
        <f t="shared" si="1582"/>
        <v>0</v>
      </c>
      <c r="H2204" s="132"/>
    </row>
    <row r="2205" spans="1:8" s="296" customFormat="1" ht="15.75" outlineLevel="3">
      <c r="A2205" s="556" t="s">
        <v>595</v>
      </c>
      <c r="B2205" s="543" t="s">
        <v>98</v>
      </c>
      <c r="C2205" s="546">
        <v>3111100</v>
      </c>
      <c r="D2205" s="548" t="s">
        <v>567</v>
      </c>
      <c r="E2205" s="554">
        <f>SUM(E2206:E2214)</f>
        <v>22600000</v>
      </c>
      <c r="F2205" s="540">
        <f t="shared" ref="F2205:G2205" si="1583">E2205*1.1</f>
        <v>24860000.000000004</v>
      </c>
      <c r="G2205" s="540">
        <f t="shared" si="1583"/>
        <v>27346000.000000007</v>
      </c>
      <c r="H2205" s="132"/>
    </row>
    <row r="2206" spans="1:8" s="296" customFormat="1" ht="30" outlineLevel="3">
      <c r="A2206" s="556"/>
      <c r="B2206" s="543"/>
      <c r="C2206" s="551">
        <v>3111101</v>
      </c>
      <c r="D2206" s="557" t="s">
        <v>609</v>
      </c>
      <c r="E2206" s="555">
        <v>1000000</v>
      </c>
      <c r="F2206" s="540">
        <f t="shared" ref="F2206:G2206" si="1584">E2206*1.1</f>
        <v>1100000</v>
      </c>
      <c r="G2206" s="540">
        <f t="shared" si="1584"/>
        <v>1210000</v>
      </c>
      <c r="H2206" s="132"/>
    </row>
    <row r="2207" spans="1:8" s="296" customFormat="1" ht="30" outlineLevel="3">
      <c r="A2207" s="556"/>
      <c r="B2207" s="543"/>
      <c r="C2207" s="551">
        <v>3111101</v>
      </c>
      <c r="D2207" s="557" t="s">
        <v>610</v>
      </c>
      <c r="E2207" s="555">
        <v>1000000</v>
      </c>
      <c r="F2207" s="540">
        <f t="shared" ref="F2207:G2207" si="1585">E2207*1.1</f>
        <v>1100000</v>
      </c>
      <c r="G2207" s="540">
        <f t="shared" si="1585"/>
        <v>1210000</v>
      </c>
      <c r="H2207" s="132"/>
    </row>
    <row r="2208" spans="1:8" s="296" customFormat="1" ht="30" outlineLevel="3">
      <c r="A2208" s="556"/>
      <c r="B2208" s="543"/>
      <c r="C2208" s="551">
        <v>3111101</v>
      </c>
      <c r="D2208" s="557" t="s">
        <v>611</v>
      </c>
      <c r="E2208" s="555">
        <v>1000000</v>
      </c>
      <c r="F2208" s="540">
        <f t="shared" ref="F2208:G2208" si="1586">E2208*1.1</f>
        <v>1100000</v>
      </c>
      <c r="G2208" s="540">
        <f t="shared" si="1586"/>
        <v>1210000</v>
      </c>
      <c r="H2208" s="132"/>
    </row>
    <row r="2209" spans="1:8" s="296" customFormat="1" ht="45" outlineLevel="3">
      <c r="A2209" s="556"/>
      <c r="B2209" s="543"/>
      <c r="C2209" s="551">
        <v>3111101</v>
      </c>
      <c r="D2209" s="557" t="s">
        <v>612</v>
      </c>
      <c r="E2209" s="555">
        <v>1000000</v>
      </c>
      <c r="F2209" s="540">
        <f t="shared" ref="F2209:G2209" si="1587">E2209*1.1</f>
        <v>1100000</v>
      </c>
      <c r="G2209" s="540">
        <f t="shared" si="1587"/>
        <v>1210000</v>
      </c>
      <c r="H2209" s="132"/>
    </row>
    <row r="2210" spans="1:8" s="296" customFormat="1" ht="30" outlineLevel="3">
      <c r="A2210" s="556"/>
      <c r="B2210" s="543"/>
      <c r="C2210" s="551">
        <v>3111101</v>
      </c>
      <c r="D2210" s="326" t="s">
        <v>613</v>
      </c>
      <c r="E2210" s="555">
        <v>1000000</v>
      </c>
      <c r="F2210" s="540">
        <f t="shared" ref="F2210:G2210" si="1588">E2210*1.1</f>
        <v>1100000</v>
      </c>
      <c r="G2210" s="540">
        <f t="shared" si="1588"/>
        <v>1210000</v>
      </c>
      <c r="H2210" s="132"/>
    </row>
    <row r="2211" spans="1:8" s="296" customFormat="1" ht="45" outlineLevel="3">
      <c r="A2211" s="556"/>
      <c r="B2211" s="543"/>
      <c r="C2211" s="551">
        <v>3111101</v>
      </c>
      <c r="D2211" s="557" t="s">
        <v>614</v>
      </c>
      <c r="E2211" s="555">
        <v>4600000</v>
      </c>
      <c r="F2211" s="540">
        <f t="shared" ref="F2211:G2211" si="1589">E2211*1.1</f>
        <v>5060000</v>
      </c>
      <c r="G2211" s="540">
        <f t="shared" si="1589"/>
        <v>5566000</v>
      </c>
      <c r="H2211" s="132"/>
    </row>
    <row r="2212" spans="1:8" s="296" customFormat="1" ht="30" outlineLevel="3">
      <c r="A2212" s="556"/>
      <c r="B2212" s="543"/>
      <c r="C2212" s="551">
        <v>3111101</v>
      </c>
      <c r="D2212" s="552" t="s">
        <v>615</v>
      </c>
      <c r="E2212" s="555">
        <v>6000000</v>
      </c>
      <c r="F2212" s="540">
        <f t="shared" ref="F2212:G2212" si="1590">E2212*1.1</f>
        <v>6600000.0000000009</v>
      </c>
      <c r="G2212" s="540">
        <f t="shared" si="1590"/>
        <v>7260000.0000000019</v>
      </c>
      <c r="H2212" s="132"/>
    </row>
    <row r="2213" spans="1:8" s="296" customFormat="1" ht="30" outlineLevel="3">
      <c r="A2213" s="556"/>
      <c r="B2213" s="543"/>
      <c r="C2213" s="572">
        <v>3111101</v>
      </c>
      <c r="D2213" s="573" t="s">
        <v>616</v>
      </c>
      <c r="E2213" s="574">
        <v>3000000</v>
      </c>
      <c r="F2213" s="540">
        <f t="shared" ref="F2213:G2213" si="1591">E2213*1.1</f>
        <v>3300000.0000000005</v>
      </c>
      <c r="G2213" s="540">
        <f t="shared" si="1591"/>
        <v>3630000.0000000009</v>
      </c>
      <c r="H2213" s="132"/>
    </row>
    <row r="2214" spans="1:8" s="296" customFormat="1" ht="15.75" outlineLevel="3">
      <c r="A2214" s="556"/>
      <c r="B2214" s="543"/>
      <c r="C2214" s="572">
        <v>3111101</v>
      </c>
      <c r="D2214" s="573" t="s">
        <v>617</v>
      </c>
      <c r="E2214" s="574">
        <v>4000000</v>
      </c>
      <c r="F2214" s="540">
        <f t="shared" ref="F2214:G2214" si="1592">E2214*1.1</f>
        <v>4400000</v>
      </c>
      <c r="G2214" s="540">
        <f t="shared" si="1592"/>
        <v>4840000</v>
      </c>
      <c r="H2214" s="132"/>
    </row>
    <row r="2215" spans="1:8" s="296" customFormat="1" ht="15.75" outlineLevel="3">
      <c r="A2215" s="543"/>
      <c r="B2215" s="543"/>
      <c r="C2215" s="546">
        <v>3110202</v>
      </c>
      <c r="D2215" s="548" t="s">
        <v>518</v>
      </c>
      <c r="E2215" s="575">
        <f>E2216</f>
        <v>2520097</v>
      </c>
      <c r="F2215" s="540">
        <f t="shared" ref="F2215:G2215" si="1593">E2215*1.1</f>
        <v>2772106.7</v>
      </c>
      <c r="G2215" s="540">
        <f t="shared" si="1593"/>
        <v>3049317.3700000006</v>
      </c>
      <c r="H2215" s="132"/>
    </row>
    <row r="2216" spans="1:8" s="296" customFormat="1" ht="45" outlineLevel="3">
      <c r="A2216" s="543"/>
      <c r="B2216" s="543"/>
      <c r="C2216" s="551">
        <v>3110202</v>
      </c>
      <c r="D2216" s="552" t="s">
        <v>618</v>
      </c>
      <c r="E2216" s="555">
        <v>2520097</v>
      </c>
      <c r="F2216" s="540">
        <f t="shared" ref="F2216:G2216" si="1594">E2216*1.1</f>
        <v>2772106.7</v>
      </c>
      <c r="G2216" s="540">
        <f t="shared" si="1594"/>
        <v>3049317.3700000006</v>
      </c>
      <c r="H2216" s="132"/>
    </row>
    <row r="2217" spans="1:8" s="296" customFormat="1" ht="15.75" outlineLevel="2">
      <c r="A2217" s="550"/>
      <c r="B2217" s="550"/>
      <c r="C2217" s="546" t="s">
        <v>619</v>
      </c>
      <c r="D2217" s="552"/>
      <c r="E2217" s="576">
        <f>E2215+E2205</f>
        <v>25120097</v>
      </c>
      <c r="F2217" s="540">
        <f t="shared" ref="F2217:G2217" si="1595">E2217*1.1</f>
        <v>27632106.700000003</v>
      </c>
      <c r="G2217" s="540">
        <f t="shared" si="1595"/>
        <v>30395317.370000005</v>
      </c>
      <c r="H2217" s="132"/>
    </row>
    <row r="2218" spans="1:8" s="296" customFormat="1" ht="15.75" outlineLevel="1">
      <c r="A2218" s="550"/>
      <c r="B2218" s="550"/>
      <c r="C2218" s="546" t="s">
        <v>620</v>
      </c>
      <c r="D2218" s="552"/>
      <c r="E2218" s="559">
        <f>E2202</f>
        <v>1123235496</v>
      </c>
      <c r="F2218" s="540">
        <f t="shared" ref="F2218:G2218" si="1596">E2218*1.1</f>
        <v>1235559045.6000001</v>
      </c>
      <c r="G2218" s="540">
        <f t="shared" si="1596"/>
        <v>1359114950.1600003</v>
      </c>
      <c r="H2218" s="132"/>
    </row>
    <row r="2219" spans="1:8" s="296" customFormat="1" ht="15.75" outlineLevel="1">
      <c r="A2219" s="543"/>
      <c r="B2219" s="543"/>
      <c r="C2219" s="546" t="s">
        <v>621</v>
      </c>
      <c r="D2219" s="548"/>
      <c r="E2219" s="559">
        <f>E2217</f>
        <v>25120097</v>
      </c>
      <c r="F2219" s="540">
        <f t="shared" ref="F2219:G2219" si="1597">E2219*1.1</f>
        <v>27632106.700000003</v>
      </c>
      <c r="G2219" s="540">
        <f t="shared" si="1597"/>
        <v>30395317.370000005</v>
      </c>
      <c r="H2219" s="132"/>
    </row>
    <row r="2220" spans="1:8" s="296" customFormat="1" ht="15.75" outlineLevel="1">
      <c r="A2220" s="543"/>
      <c r="B2220" s="543"/>
      <c r="C2220" s="546" t="s">
        <v>622</v>
      </c>
      <c r="D2220" s="548"/>
      <c r="E2220" s="521">
        <f>E2219+E2218</f>
        <v>1148355593</v>
      </c>
      <c r="F2220" s="540">
        <f t="shared" ref="F2220:G2220" si="1598">E2220*1.1</f>
        <v>1263191152.3000002</v>
      </c>
      <c r="G2220" s="540">
        <f t="shared" si="1598"/>
        <v>1389510267.5300002</v>
      </c>
      <c r="H2220" s="132"/>
    </row>
    <row r="2221" spans="1:8" s="296" customFormat="1" ht="15.75">
      <c r="A2221" s="543"/>
      <c r="B2221" s="543"/>
      <c r="C2221" s="478"/>
      <c r="D2221" s="577" t="s">
        <v>101</v>
      </c>
      <c r="E2221" s="578">
        <f>E2218+E2150+E2011</f>
        <v>3815291856.4031715</v>
      </c>
      <c r="F2221" s="578">
        <f t="shared" ref="F2221:G2221" si="1599">F2218+F2150+F2011</f>
        <v>4196821042.043489</v>
      </c>
      <c r="G2221" s="578">
        <f t="shared" si="1599"/>
        <v>4616503146.247839</v>
      </c>
      <c r="H2221" s="132"/>
    </row>
    <row r="2222" spans="1:8" s="296" customFormat="1" ht="15.75">
      <c r="A2222" s="543"/>
      <c r="B2222" s="543"/>
      <c r="C2222" s="478"/>
      <c r="D2222" s="577" t="s">
        <v>201</v>
      </c>
      <c r="E2222" s="578">
        <f>E2219+E2151+E2012</f>
        <v>347714541</v>
      </c>
      <c r="F2222" s="578">
        <f t="shared" ref="F2222:G2222" si="1600">F2219+F2151+F2012</f>
        <v>382485995.10000002</v>
      </c>
      <c r="G2222" s="578">
        <f t="shared" si="1600"/>
        <v>420734594.61000001</v>
      </c>
      <c r="H2222" s="132"/>
    </row>
    <row r="2223" spans="1:8" s="296" customFormat="1" ht="15.75">
      <c r="A2223" s="382"/>
      <c r="B2223" s="382"/>
      <c r="C2223" s="808" t="s">
        <v>623</v>
      </c>
      <c r="D2223" s="809"/>
      <c r="E2223" s="578">
        <f>E2222+E2221</f>
        <v>4163006397.4031715</v>
      </c>
      <c r="F2223" s="578">
        <f t="shared" ref="F2223:G2223" si="1601">F2222+F2221</f>
        <v>4579307037.1434889</v>
      </c>
      <c r="G2223" s="578">
        <f t="shared" si="1601"/>
        <v>5037237740.8578386</v>
      </c>
      <c r="H2223" s="132"/>
    </row>
    <row r="2224" spans="1:8" s="289" customFormat="1" ht="15.75">
      <c r="A2224" s="311"/>
      <c r="B2224" s="311"/>
      <c r="C2224" s="312"/>
      <c r="D2224" s="313"/>
      <c r="E2224" s="314"/>
      <c r="F2224" s="540"/>
      <c r="G2224" s="540"/>
      <c r="H2224" s="132"/>
    </row>
    <row r="2225" spans="1:8" s="289" customFormat="1" ht="15.75">
      <c r="A2225" s="311"/>
      <c r="B2225" s="311"/>
      <c r="C2225" s="312"/>
      <c r="D2225" s="313"/>
      <c r="E2225" s="314"/>
      <c r="F2225" s="540"/>
      <c r="G2225" s="540"/>
      <c r="H2225" s="132"/>
    </row>
    <row r="2226" spans="1:8" s="289" customFormat="1" ht="15.75">
      <c r="A2226" s="311"/>
      <c r="B2226" s="311"/>
      <c r="C2226" s="312"/>
      <c r="D2226" s="313"/>
      <c r="E2226" s="314"/>
      <c r="F2226" s="540"/>
      <c r="G2226" s="540"/>
      <c r="H2226" s="132"/>
    </row>
    <row r="2227" spans="1:8" s="290" customFormat="1" ht="15.75">
      <c r="A2227" s="557"/>
      <c r="B2227" s="557"/>
      <c r="C2227" s="438" t="s">
        <v>624</v>
      </c>
      <c r="D2227" s="579"/>
      <c r="E2227" s="580"/>
      <c r="F2227" s="540"/>
      <c r="G2227" s="540"/>
      <c r="H2227" s="132"/>
    </row>
    <row r="2228" spans="1:8" s="290" customFormat="1" ht="15.75" outlineLevel="1">
      <c r="A2228" s="557"/>
      <c r="B2228" s="557"/>
      <c r="C2228" s="539" t="s">
        <v>625</v>
      </c>
      <c r="D2228" s="579"/>
      <c r="E2228" s="581"/>
      <c r="F2228" s="540">
        <f t="shared" ref="F2228:G2228" si="1602">E2228*1.1</f>
        <v>0</v>
      </c>
      <c r="G2228" s="540">
        <f t="shared" si="1602"/>
        <v>0</v>
      </c>
      <c r="H2228" s="132"/>
    </row>
    <row r="2229" spans="1:8" s="290" customFormat="1" ht="15.75" outlineLevel="2">
      <c r="A2229" s="557"/>
      <c r="B2229" s="557"/>
      <c r="C2229" s="539">
        <v>2110100</v>
      </c>
      <c r="D2229" s="579" t="s">
        <v>13</v>
      </c>
      <c r="E2229" s="580">
        <f>E2230</f>
        <v>86850458</v>
      </c>
      <c r="F2229" s="540">
        <f t="shared" ref="F2229:G2229" si="1603">E2229*1.1</f>
        <v>95535503.800000012</v>
      </c>
      <c r="G2229" s="540">
        <f t="shared" si="1603"/>
        <v>105089054.18000002</v>
      </c>
      <c r="H2229" s="132"/>
    </row>
    <row r="2230" spans="1:8" s="290" customFormat="1" ht="15.75" outlineLevel="2">
      <c r="A2230" s="557"/>
      <c r="B2230" s="557"/>
      <c r="C2230" s="512">
        <v>2110101</v>
      </c>
      <c r="D2230" s="557" t="s">
        <v>626</v>
      </c>
      <c r="E2230" s="581">
        <v>86850458</v>
      </c>
      <c r="F2230" s="540">
        <f t="shared" ref="F2230:G2230" si="1604">E2230*1.1</f>
        <v>95535503.800000012</v>
      </c>
      <c r="G2230" s="540">
        <f t="shared" si="1604"/>
        <v>105089054.18000002</v>
      </c>
      <c r="H2230" s="132"/>
    </row>
    <row r="2231" spans="1:8" s="290" customFormat="1" ht="15.75" outlineLevel="2">
      <c r="A2231" s="557"/>
      <c r="B2231" s="557"/>
      <c r="C2231" s="539">
        <v>2210100</v>
      </c>
      <c r="D2231" s="579" t="s">
        <v>16</v>
      </c>
      <c r="E2231" s="580">
        <f>E2232+E2233</f>
        <v>658400</v>
      </c>
      <c r="F2231" s="540">
        <f t="shared" ref="F2231:G2231" si="1605">E2231*1.1</f>
        <v>724240.00000000012</v>
      </c>
      <c r="G2231" s="540">
        <f t="shared" si="1605"/>
        <v>796664.00000000023</v>
      </c>
      <c r="H2231" s="132"/>
    </row>
    <row r="2232" spans="1:8" s="290" customFormat="1" ht="15.75" outlineLevel="2">
      <c r="A2232" s="557"/>
      <c r="B2232" s="557"/>
      <c r="C2232" s="512">
        <v>2210101</v>
      </c>
      <c r="D2232" s="557" t="s">
        <v>627</v>
      </c>
      <c r="E2232" s="581">
        <v>562400</v>
      </c>
      <c r="F2232" s="540">
        <f t="shared" ref="F2232:G2232" si="1606">E2232*1.1</f>
        <v>618640</v>
      </c>
      <c r="G2232" s="540">
        <f t="shared" si="1606"/>
        <v>680504</v>
      </c>
      <c r="H2232" s="132"/>
    </row>
    <row r="2233" spans="1:8" s="290" customFormat="1" ht="15.75" outlineLevel="2">
      <c r="A2233" s="557"/>
      <c r="B2233" s="557"/>
      <c r="C2233" s="512">
        <v>2210103</v>
      </c>
      <c r="D2233" s="557" t="s">
        <v>628</v>
      </c>
      <c r="E2233" s="581">
        <v>96000</v>
      </c>
      <c r="F2233" s="540">
        <f t="shared" ref="F2233:G2233" si="1607">E2233*1.1</f>
        <v>105600.00000000001</v>
      </c>
      <c r="G2233" s="540">
        <f t="shared" si="1607"/>
        <v>116160.00000000003</v>
      </c>
      <c r="H2233" s="132"/>
    </row>
    <row r="2234" spans="1:8" s="290" customFormat="1" ht="15.75" outlineLevel="2">
      <c r="A2234" s="557"/>
      <c r="B2234" s="557"/>
      <c r="C2234" s="539">
        <v>2210200</v>
      </c>
      <c r="D2234" s="579" t="s">
        <v>19</v>
      </c>
      <c r="E2234" s="580">
        <f>E2235+E2236+E2237</f>
        <v>665420</v>
      </c>
      <c r="F2234" s="540">
        <f t="shared" ref="F2234:G2234" si="1608">E2234*1.1</f>
        <v>731962.00000000012</v>
      </c>
      <c r="G2234" s="540">
        <f t="shared" si="1608"/>
        <v>805158.20000000019</v>
      </c>
      <c r="H2234" s="132"/>
    </row>
    <row r="2235" spans="1:8" s="290" customFormat="1" ht="15.75" outlineLevel="2">
      <c r="A2235" s="557"/>
      <c r="B2235" s="557"/>
      <c r="C2235" s="512">
        <v>2210201</v>
      </c>
      <c r="D2235" s="557" t="s">
        <v>20</v>
      </c>
      <c r="E2235" s="581">
        <v>382420</v>
      </c>
      <c r="F2235" s="540">
        <f t="shared" ref="F2235:G2235" si="1609">E2235*1.1</f>
        <v>420662.00000000006</v>
      </c>
      <c r="G2235" s="540">
        <f t="shared" si="1609"/>
        <v>462728.20000000013</v>
      </c>
      <c r="H2235" s="132"/>
    </row>
    <row r="2236" spans="1:8" s="290" customFormat="1" ht="15.75" outlineLevel="2">
      <c r="A2236" s="557"/>
      <c r="B2236" s="557"/>
      <c r="C2236" s="582">
        <v>2210202</v>
      </c>
      <c r="D2236" s="583" t="s">
        <v>629</v>
      </c>
      <c r="E2236" s="581">
        <v>268200</v>
      </c>
      <c r="F2236" s="540">
        <f t="shared" ref="F2236:G2236" si="1610">E2236*1.1</f>
        <v>295020</v>
      </c>
      <c r="G2236" s="540">
        <f t="shared" si="1610"/>
        <v>324522</v>
      </c>
      <c r="H2236" s="132"/>
    </row>
    <row r="2237" spans="1:8" s="290" customFormat="1" ht="15.75" outlineLevel="2">
      <c r="A2237" s="557"/>
      <c r="B2237" s="557"/>
      <c r="C2237" s="512">
        <v>2210203</v>
      </c>
      <c r="D2237" s="557" t="s">
        <v>22</v>
      </c>
      <c r="E2237" s="581">
        <v>14800</v>
      </c>
      <c r="F2237" s="540">
        <f t="shared" ref="F2237:G2237" si="1611">E2237*1.1</f>
        <v>16280.000000000002</v>
      </c>
      <c r="G2237" s="540">
        <f t="shared" si="1611"/>
        <v>17908.000000000004</v>
      </c>
      <c r="H2237" s="132"/>
    </row>
    <row r="2238" spans="1:8" s="290" customFormat="1" ht="30" outlineLevel="2">
      <c r="A2238" s="557"/>
      <c r="B2238" s="557"/>
      <c r="C2238" s="539">
        <v>2210300</v>
      </c>
      <c r="D2238" s="579" t="s">
        <v>23</v>
      </c>
      <c r="E2238" s="580">
        <f>E2239+E2240+E2241+E2242+E2243</f>
        <v>2024450</v>
      </c>
      <c r="F2238" s="540">
        <f t="shared" ref="F2238:G2238" si="1612">E2238*1.1</f>
        <v>2226895</v>
      </c>
      <c r="G2238" s="540">
        <f t="shared" si="1612"/>
        <v>2449584.5</v>
      </c>
      <c r="H2238" s="132"/>
    </row>
    <row r="2239" spans="1:8" s="290" customFormat="1" ht="15.75" outlineLevel="2">
      <c r="A2239" s="557"/>
      <c r="B2239" s="557"/>
      <c r="C2239" s="512">
        <v>2210301</v>
      </c>
      <c r="D2239" s="557" t="s">
        <v>24</v>
      </c>
      <c r="E2239" s="581">
        <v>468650</v>
      </c>
      <c r="F2239" s="540">
        <f t="shared" ref="F2239:G2239" si="1613">E2239*1.1</f>
        <v>515515.00000000006</v>
      </c>
      <c r="G2239" s="540">
        <f t="shared" si="1613"/>
        <v>567066.50000000012</v>
      </c>
      <c r="H2239" s="132"/>
    </row>
    <row r="2240" spans="1:8" s="290" customFormat="1" ht="15.75" outlineLevel="2">
      <c r="A2240" s="557"/>
      <c r="B2240" s="557"/>
      <c r="C2240" s="512">
        <v>2210302</v>
      </c>
      <c r="D2240" s="557" t="s">
        <v>25</v>
      </c>
      <c r="E2240" s="581">
        <v>690950</v>
      </c>
      <c r="F2240" s="540">
        <f t="shared" ref="F2240:G2240" si="1614">E2240*1.1</f>
        <v>760045.00000000012</v>
      </c>
      <c r="G2240" s="540">
        <f t="shared" si="1614"/>
        <v>836049.50000000023</v>
      </c>
      <c r="H2240" s="132"/>
    </row>
    <row r="2241" spans="1:8" s="290" customFormat="1" ht="15.75" outlineLevel="2">
      <c r="A2241" s="557"/>
      <c r="B2241" s="557"/>
      <c r="C2241" s="512">
        <v>2210303</v>
      </c>
      <c r="D2241" s="557" t="s">
        <v>26</v>
      </c>
      <c r="E2241" s="581">
        <v>768720</v>
      </c>
      <c r="F2241" s="540">
        <f t="shared" ref="F2241:G2241" si="1615">E2241*1.1</f>
        <v>845592.00000000012</v>
      </c>
      <c r="G2241" s="540">
        <f t="shared" si="1615"/>
        <v>930151.20000000019</v>
      </c>
      <c r="H2241" s="132"/>
    </row>
    <row r="2242" spans="1:8" s="290" customFormat="1" ht="15.75" outlineLevel="2">
      <c r="A2242" s="557"/>
      <c r="B2242" s="557"/>
      <c r="C2242" s="512">
        <v>2210304</v>
      </c>
      <c r="D2242" s="557" t="s">
        <v>27</v>
      </c>
      <c r="E2242" s="581">
        <v>90430</v>
      </c>
      <c r="F2242" s="540">
        <f t="shared" ref="F2242:G2242" si="1616">E2242*1.1</f>
        <v>99473.000000000015</v>
      </c>
      <c r="G2242" s="540">
        <f t="shared" si="1616"/>
        <v>109420.30000000003</v>
      </c>
      <c r="H2242" s="132"/>
    </row>
    <row r="2243" spans="1:8" s="290" customFormat="1" ht="15.75" outlineLevel="2">
      <c r="A2243" s="557"/>
      <c r="B2243" s="557"/>
      <c r="C2243" s="512">
        <v>2210307</v>
      </c>
      <c r="D2243" s="557" t="s">
        <v>630</v>
      </c>
      <c r="E2243" s="581">
        <v>5700</v>
      </c>
      <c r="F2243" s="540">
        <f t="shared" ref="F2243:G2243" si="1617">E2243*1.1</f>
        <v>6270.0000000000009</v>
      </c>
      <c r="G2243" s="540">
        <f t="shared" si="1617"/>
        <v>6897.0000000000018</v>
      </c>
      <c r="H2243" s="132"/>
    </row>
    <row r="2244" spans="1:8" s="290" customFormat="1" ht="15.75" outlineLevel="2">
      <c r="A2244" s="557"/>
      <c r="B2244" s="557"/>
      <c r="C2244" s="539">
        <v>2210400</v>
      </c>
      <c r="D2244" s="579" t="s">
        <v>631</v>
      </c>
      <c r="E2244" s="580">
        <f>E2245+E2246+E2247+E2248</f>
        <v>1352516</v>
      </c>
      <c r="F2244" s="540">
        <f t="shared" ref="F2244:G2244" si="1618">E2244*1.1</f>
        <v>1487767.6</v>
      </c>
      <c r="G2244" s="540">
        <f t="shared" si="1618"/>
        <v>1636544.3600000003</v>
      </c>
      <c r="H2244" s="132"/>
    </row>
    <row r="2245" spans="1:8" s="290" customFormat="1" ht="15.75" outlineLevel="2">
      <c r="A2245" s="557"/>
      <c r="B2245" s="557"/>
      <c r="C2245" s="512">
        <v>2210401</v>
      </c>
      <c r="D2245" s="557" t="s">
        <v>24</v>
      </c>
      <c r="E2245" s="581">
        <v>560400</v>
      </c>
      <c r="F2245" s="540">
        <f t="shared" ref="F2245:G2245" si="1619">E2245*1.1</f>
        <v>616440</v>
      </c>
      <c r="G2245" s="540">
        <f t="shared" si="1619"/>
        <v>678084</v>
      </c>
      <c r="H2245" s="132"/>
    </row>
    <row r="2246" spans="1:8" s="290" customFormat="1" ht="15.75" outlineLevel="2">
      <c r="A2246" s="557"/>
      <c r="B2246" s="557"/>
      <c r="C2246" s="512">
        <v>2210402</v>
      </c>
      <c r="D2246" s="557" t="s">
        <v>632</v>
      </c>
      <c r="E2246" s="581">
        <v>440700</v>
      </c>
      <c r="F2246" s="540">
        <f t="shared" ref="F2246:G2246" si="1620">E2246*1.1</f>
        <v>484770.00000000006</v>
      </c>
      <c r="G2246" s="540">
        <f t="shared" si="1620"/>
        <v>533247.00000000012</v>
      </c>
      <c r="H2246" s="132"/>
    </row>
    <row r="2247" spans="1:8" s="290" customFormat="1" ht="15.75" outlineLevel="2">
      <c r="A2247" s="557"/>
      <c r="B2247" s="557"/>
      <c r="C2247" s="512">
        <v>2210403</v>
      </c>
      <c r="D2247" s="557" t="s">
        <v>26</v>
      </c>
      <c r="E2247" s="581">
        <v>240616</v>
      </c>
      <c r="F2247" s="540">
        <f t="shared" ref="F2247:G2247" si="1621">E2247*1.1</f>
        <v>264677.60000000003</v>
      </c>
      <c r="G2247" s="540">
        <f t="shared" si="1621"/>
        <v>291145.36000000004</v>
      </c>
      <c r="H2247" s="132"/>
    </row>
    <row r="2248" spans="1:8" s="290" customFormat="1" ht="15.75" outlineLevel="2">
      <c r="A2248" s="557"/>
      <c r="B2248" s="557"/>
      <c r="C2248" s="512">
        <v>2210404</v>
      </c>
      <c r="D2248" s="557" t="s">
        <v>633</v>
      </c>
      <c r="E2248" s="581">
        <v>110800</v>
      </c>
      <c r="F2248" s="540">
        <f t="shared" ref="F2248:G2248" si="1622">E2248*1.1</f>
        <v>121880.00000000001</v>
      </c>
      <c r="G2248" s="540">
        <f t="shared" si="1622"/>
        <v>134068.00000000003</v>
      </c>
      <c r="H2248" s="132"/>
    </row>
    <row r="2249" spans="1:8" s="290" customFormat="1" ht="15.75" outlineLevel="2">
      <c r="A2249" s="557"/>
      <c r="B2249" s="557"/>
      <c r="C2249" s="539">
        <v>2210500</v>
      </c>
      <c r="D2249" s="579" t="s">
        <v>30</v>
      </c>
      <c r="E2249" s="580">
        <f>E2250+E2251+E2252+E2253</f>
        <v>982724</v>
      </c>
      <c r="F2249" s="540">
        <f t="shared" ref="F2249:G2249" si="1623">E2249*1.1</f>
        <v>1080996.4000000001</v>
      </c>
      <c r="G2249" s="540">
        <f t="shared" si="1623"/>
        <v>1189096.0400000003</v>
      </c>
      <c r="H2249" s="132"/>
    </row>
    <row r="2250" spans="1:8" s="290" customFormat="1" ht="15.75" outlineLevel="2">
      <c r="A2250" s="557"/>
      <c r="B2250" s="557"/>
      <c r="C2250" s="512">
        <v>2210502</v>
      </c>
      <c r="D2250" s="557" t="s">
        <v>634</v>
      </c>
      <c r="E2250" s="584">
        <v>227281</v>
      </c>
      <c r="F2250" s="540">
        <f t="shared" ref="F2250:G2250" si="1624">E2250*1.1</f>
        <v>250009.1</v>
      </c>
      <c r="G2250" s="540">
        <f t="shared" si="1624"/>
        <v>275010.01</v>
      </c>
      <c r="H2250" s="132"/>
    </row>
    <row r="2251" spans="1:8" s="290" customFormat="1" ht="15.75" outlineLevel="2">
      <c r="A2251" s="557"/>
      <c r="B2251" s="557"/>
      <c r="C2251" s="512">
        <v>2210503</v>
      </c>
      <c r="D2251" s="557" t="s">
        <v>31</v>
      </c>
      <c r="E2251" s="584">
        <v>58058</v>
      </c>
      <c r="F2251" s="540">
        <f t="shared" ref="F2251:G2251" si="1625">E2251*1.1</f>
        <v>63863.8</v>
      </c>
      <c r="G2251" s="540">
        <f t="shared" si="1625"/>
        <v>70250.180000000008</v>
      </c>
      <c r="H2251" s="132"/>
    </row>
    <row r="2252" spans="1:8" s="290" customFormat="1" ht="15.75" outlineLevel="2">
      <c r="A2252" s="557"/>
      <c r="B2252" s="557"/>
      <c r="C2252" s="512">
        <v>2210504</v>
      </c>
      <c r="D2252" s="557" t="s">
        <v>32</v>
      </c>
      <c r="E2252" s="584">
        <v>271105</v>
      </c>
      <c r="F2252" s="540">
        <f t="shared" ref="F2252:G2252" si="1626">E2252*1.1</f>
        <v>298215.5</v>
      </c>
      <c r="G2252" s="540">
        <f t="shared" si="1626"/>
        <v>328037.05000000005</v>
      </c>
      <c r="H2252" s="132"/>
    </row>
    <row r="2253" spans="1:8" s="290" customFormat="1" ht="15.75" outlineLevel="2">
      <c r="A2253" s="557"/>
      <c r="B2253" s="557"/>
      <c r="C2253" s="512">
        <v>2210505</v>
      </c>
      <c r="D2253" s="557" t="s">
        <v>635</v>
      </c>
      <c r="E2253" s="584">
        <v>426280</v>
      </c>
      <c r="F2253" s="540">
        <f t="shared" ref="F2253:G2253" si="1627">E2253*1.1</f>
        <v>468908.00000000006</v>
      </c>
      <c r="G2253" s="540">
        <f t="shared" si="1627"/>
        <v>515798.8000000001</v>
      </c>
      <c r="H2253" s="132"/>
    </row>
    <row r="2254" spans="1:8" s="290" customFormat="1" ht="15.75" outlineLevel="2">
      <c r="A2254" s="557"/>
      <c r="B2254" s="557"/>
      <c r="C2254" s="539">
        <v>2210600</v>
      </c>
      <c r="D2254" s="579" t="s">
        <v>163</v>
      </c>
      <c r="E2254" s="580">
        <f>E2255</f>
        <v>376315</v>
      </c>
      <c r="F2254" s="540">
        <f t="shared" ref="F2254:G2254" si="1628">E2254*1.1</f>
        <v>413946.50000000006</v>
      </c>
      <c r="G2254" s="540">
        <f t="shared" si="1628"/>
        <v>455341.15000000008</v>
      </c>
      <c r="H2254" s="132"/>
    </row>
    <row r="2255" spans="1:8" s="290" customFormat="1" ht="15.75" outlineLevel="2">
      <c r="A2255" s="557"/>
      <c r="B2255" s="557"/>
      <c r="C2255" s="512">
        <v>2210603</v>
      </c>
      <c r="D2255" s="557" t="s">
        <v>636</v>
      </c>
      <c r="E2255" s="581">
        <v>376315</v>
      </c>
      <c r="F2255" s="540">
        <f t="shared" ref="F2255:G2255" si="1629">E2255*1.1</f>
        <v>413946.50000000006</v>
      </c>
      <c r="G2255" s="540">
        <f t="shared" si="1629"/>
        <v>455341.15000000008</v>
      </c>
      <c r="H2255" s="132"/>
    </row>
    <row r="2256" spans="1:8" s="290" customFormat="1" ht="15.75" outlineLevel="2">
      <c r="A2256" s="557"/>
      <c r="B2256" s="557"/>
      <c r="C2256" s="539">
        <v>2210700</v>
      </c>
      <c r="D2256" s="579" t="s">
        <v>34</v>
      </c>
      <c r="E2256" s="580">
        <f>E2257+E2258+E2259+E2260+E2261</f>
        <v>1586810</v>
      </c>
      <c r="F2256" s="540">
        <f t="shared" ref="F2256:G2256" si="1630">E2256*1.1</f>
        <v>1745491.0000000002</v>
      </c>
      <c r="G2256" s="540">
        <f t="shared" si="1630"/>
        <v>1920040.1000000003</v>
      </c>
      <c r="H2256" s="132"/>
    </row>
    <row r="2257" spans="1:8" s="290" customFormat="1" ht="15.75" outlineLevel="2">
      <c r="A2257" s="557"/>
      <c r="B2257" s="557"/>
      <c r="C2257" s="512">
        <v>2210701</v>
      </c>
      <c r="D2257" s="557" t="s">
        <v>35</v>
      </c>
      <c r="E2257" s="584">
        <v>326220</v>
      </c>
      <c r="F2257" s="540">
        <f t="shared" ref="F2257:G2257" si="1631">E2257*1.1</f>
        <v>358842</v>
      </c>
      <c r="G2257" s="540">
        <f t="shared" si="1631"/>
        <v>394726.2</v>
      </c>
      <c r="H2257" s="132"/>
    </row>
    <row r="2258" spans="1:8" s="290" customFormat="1" ht="15.75" outlineLevel="2">
      <c r="A2258" s="557"/>
      <c r="B2258" s="557"/>
      <c r="C2258" s="512">
        <v>2210710</v>
      </c>
      <c r="D2258" s="557" t="s">
        <v>38</v>
      </c>
      <c r="E2258" s="584">
        <v>343550</v>
      </c>
      <c r="F2258" s="540">
        <f t="shared" ref="F2258:G2258" si="1632">E2258*1.1</f>
        <v>377905.00000000006</v>
      </c>
      <c r="G2258" s="540">
        <f t="shared" si="1632"/>
        <v>415695.50000000012</v>
      </c>
      <c r="H2258" s="132"/>
    </row>
    <row r="2259" spans="1:8" s="290" customFormat="1" ht="15.75" outlineLevel="2">
      <c r="A2259" s="557"/>
      <c r="B2259" s="557"/>
      <c r="C2259" s="512">
        <v>2210711</v>
      </c>
      <c r="D2259" s="557" t="s">
        <v>637</v>
      </c>
      <c r="E2259" s="584">
        <v>175450</v>
      </c>
      <c r="F2259" s="540">
        <f t="shared" ref="F2259:G2259" si="1633">E2259*1.1</f>
        <v>192995.00000000003</v>
      </c>
      <c r="G2259" s="540">
        <f t="shared" si="1633"/>
        <v>212294.50000000006</v>
      </c>
      <c r="H2259" s="132"/>
    </row>
    <row r="2260" spans="1:8" s="290" customFormat="1" ht="15.75" outlineLevel="2">
      <c r="A2260" s="557"/>
      <c r="B2260" s="557"/>
      <c r="C2260" s="512">
        <v>2210715</v>
      </c>
      <c r="D2260" s="557" t="s">
        <v>39</v>
      </c>
      <c r="E2260" s="584">
        <v>510940</v>
      </c>
      <c r="F2260" s="540">
        <f t="shared" ref="F2260:G2260" si="1634">E2260*1.1</f>
        <v>562034</v>
      </c>
      <c r="G2260" s="540">
        <f t="shared" si="1634"/>
        <v>618237.4</v>
      </c>
      <c r="H2260" s="132"/>
    </row>
    <row r="2261" spans="1:8" s="290" customFormat="1" ht="30" outlineLevel="2">
      <c r="A2261" s="557"/>
      <c r="B2261" s="557"/>
      <c r="C2261" s="512">
        <v>2210799</v>
      </c>
      <c r="D2261" s="557" t="s">
        <v>638</v>
      </c>
      <c r="E2261" s="584">
        <v>230650</v>
      </c>
      <c r="F2261" s="540">
        <f t="shared" ref="F2261:G2261" si="1635">E2261*1.1</f>
        <v>253715.00000000003</v>
      </c>
      <c r="G2261" s="540">
        <f t="shared" si="1635"/>
        <v>279086.50000000006</v>
      </c>
      <c r="H2261" s="132"/>
    </row>
    <row r="2262" spans="1:8" s="290" customFormat="1" ht="15.75" outlineLevel="2">
      <c r="A2262" s="557"/>
      <c r="B2262" s="557"/>
      <c r="C2262" s="539">
        <v>2210800</v>
      </c>
      <c r="D2262" s="579" t="s">
        <v>41</v>
      </c>
      <c r="E2262" s="580">
        <f>E2263+E2264</f>
        <v>936417</v>
      </c>
      <c r="F2262" s="540">
        <f t="shared" ref="F2262:G2262" si="1636">E2262*1.1</f>
        <v>1030058.7000000001</v>
      </c>
      <c r="G2262" s="540">
        <f t="shared" si="1636"/>
        <v>1133064.57</v>
      </c>
      <c r="H2262" s="132"/>
    </row>
    <row r="2263" spans="1:8" s="290" customFormat="1" ht="30" outlineLevel="2">
      <c r="A2263" s="557"/>
      <c r="B2263" s="557"/>
      <c r="C2263" s="512">
        <v>2210801</v>
      </c>
      <c r="D2263" s="557" t="s">
        <v>85</v>
      </c>
      <c r="E2263" s="581">
        <v>474172</v>
      </c>
      <c r="F2263" s="540">
        <f t="shared" ref="F2263:G2263" si="1637">E2263*1.1</f>
        <v>521589.20000000007</v>
      </c>
      <c r="G2263" s="540">
        <f t="shared" si="1637"/>
        <v>573748.12000000011</v>
      </c>
      <c r="H2263" s="132"/>
    </row>
    <row r="2264" spans="1:8" s="290" customFormat="1" ht="15.75" outlineLevel="2">
      <c r="A2264" s="557"/>
      <c r="B2264" s="557"/>
      <c r="C2264" s="512">
        <v>2210802</v>
      </c>
      <c r="D2264" s="557" t="s">
        <v>43</v>
      </c>
      <c r="E2264" s="581">
        <v>462245</v>
      </c>
      <c r="F2264" s="540">
        <f t="shared" ref="F2264:G2264" si="1638">E2264*1.1</f>
        <v>508469.50000000006</v>
      </c>
      <c r="G2264" s="540">
        <f t="shared" si="1638"/>
        <v>559316.45000000007</v>
      </c>
      <c r="H2264" s="132"/>
    </row>
    <row r="2265" spans="1:8" s="290" customFormat="1" ht="15.75" outlineLevel="2">
      <c r="A2265" s="557"/>
      <c r="B2265" s="557"/>
      <c r="C2265" s="539">
        <v>2210900</v>
      </c>
      <c r="D2265" s="579" t="s">
        <v>45</v>
      </c>
      <c r="E2265" s="580">
        <f>E2266</f>
        <v>829000</v>
      </c>
      <c r="F2265" s="540">
        <f t="shared" ref="F2265:G2265" si="1639">E2265*1.1</f>
        <v>911900.00000000012</v>
      </c>
      <c r="G2265" s="540">
        <f t="shared" si="1639"/>
        <v>1003090.0000000002</v>
      </c>
      <c r="H2265" s="132"/>
    </row>
    <row r="2266" spans="1:8" s="290" customFormat="1" ht="15.75" outlineLevel="2">
      <c r="A2266" s="557"/>
      <c r="B2266" s="557"/>
      <c r="C2266" s="512">
        <v>2210903</v>
      </c>
      <c r="D2266" s="557" t="s">
        <v>639</v>
      </c>
      <c r="E2266" s="581">
        <v>829000</v>
      </c>
      <c r="F2266" s="540">
        <f t="shared" ref="F2266:G2266" si="1640">E2266*1.1</f>
        <v>911900.00000000012</v>
      </c>
      <c r="G2266" s="540">
        <f t="shared" si="1640"/>
        <v>1003090.0000000002</v>
      </c>
      <c r="H2266" s="132"/>
    </row>
    <row r="2267" spans="1:8" s="290" customFormat="1" ht="15.75" outlineLevel="2">
      <c r="A2267" s="557"/>
      <c r="B2267" s="557"/>
      <c r="C2267" s="539">
        <v>2211100</v>
      </c>
      <c r="D2267" s="579" t="s">
        <v>49</v>
      </c>
      <c r="E2267" s="580">
        <f>E2268+E2269+E2270</f>
        <v>1089812</v>
      </c>
      <c r="F2267" s="540">
        <f t="shared" ref="F2267:G2267" si="1641">E2267*1.1</f>
        <v>1198793.2000000002</v>
      </c>
      <c r="G2267" s="540">
        <f t="shared" si="1641"/>
        <v>1318672.5200000003</v>
      </c>
      <c r="H2267" s="132"/>
    </row>
    <row r="2268" spans="1:8" s="290" customFormat="1" ht="30" outlineLevel="2">
      <c r="A2268" s="557"/>
      <c r="B2268" s="557"/>
      <c r="C2268" s="512">
        <v>2211101</v>
      </c>
      <c r="D2268" s="557" t="s">
        <v>87</v>
      </c>
      <c r="E2268" s="584">
        <v>531862</v>
      </c>
      <c r="F2268" s="540">
        <f t="shared" ref="F2268:G2268" si="1642">E2268*1.1</f>
        <v>585048.20000000007</v>
      </c>
      <c r="G2268" s="540">
        <f t="shared" si="1642"/>
        <v>643553.02000000014</v>
      </c>
      <c r="H2268" s="132"/>
    </row>
    <row r="2269" spans="1:8" s="290" customFormat="1" ht="15.75" outlineLevel="2">
      <c r="A2269" s="557"/>
      <c r="B2269" s="557"/>
      <c r="C2269" s="512">
        <v>2211102</v>
      </c>
      <c r="D2269" s="583" t="s">
        <v>51</v>
      </c>
      <c r="E2269" s="584">
        <v>374970</v>
      </c>
      <c r="F2269" s="540">
        <f t="shared" ref="F2269:G2269" si="1643">E2269*1.1</f>
        <v>412467.00000000006</v>
      </c>
      <c r="G2269" s="540">
        <f t="shared" si="1643"/>
        <v>453713.70000000013</v>
      </c>
      <c r="H2269" s="132"/>
    </row>
    <row r="2270" spans="1:8" s="290" customFormat="1" ht="15.75" outlineLevel="2">
      <c r="A2270" s="557"/>
      <c r="B2270" s="557"/>
      <c r="C2270" s="512">
        <v>2211103</v>
      </c>
      <c r="D2270" s="557" t="s">
        <v>52</v>
      </c>
      <c r="E2270" s="581">
        <v>182980</v>
      </c>
      <c r="F2270" s="540">
        <f t="shared" ref="F2270:G2270" si="1644">E2270*1.1</f>
        <v>201278.00000000003</v>
      </c>
      <c r="G2270" s="540">
        <f t="shared" si="1644"/>
        <v>221405.80000000005</v>
      </c>
      <c r="H2270" s="132"/>
    </row>
    <row r="2271" spans="1:8" s="290" customFormat="1" ht="15.75" outlineLevel="2">
      <c r="A2271" s="557"/>
      <c r="B2271" s="557"/>
      <c r="C2271" s="539">
        <v>2211200</v>
      </c>
      <c r="D2271" s="579" t="s">
        <v>640</v>
      </c>
      <c r="E2271" s="580">
        <f>E2272</f>
        <v>1360000</v>
      </c>
      <c r="F2271" s="540">
        <f t="shared" ref="F2271:G2271" si="1645">E2271*1.1</f>
        <v>1496000.0000000002</v>
      </c>
      <c r="G2271" s="540">
        <f t="shared" si="1645"/>
        <v>1645600.0000000005</v>
      </c>
      <c r="H2271" s="132"/>
    </row>
    <row r="2272" spans="1:8" s="290" customFormat="1" ht="15.75" outlineLevel="2">
      <c r="A2272" s="557"/>
      <c r="B2272" s="557"/>
      <c r="C2272" s="512">
        <v>2211201</v>
      </c>
      <c r="D2272" s="557" t="s">
        <v>641</v>
      </c>
      <c r="E2272" s="581">
        <v>1360000</v>
      </c>
      <c r="F2272" s="540">
        <f t="shared" ref="F2272:G2272" si="1646">E2272*1.1</f>
        <v>1496000.0000000002</v>
      </c>
      <c r="G2272" s="540">
        <f t="shared" si="1646"/>
        <v>1645600.0000000005</v>
      </c>
      <c r="H2272" s="132"/>
    </row>
    <row r="2273" spans="1:8" s="290" customFormat="1" ht="15.75" outlineLevel="2">
      <c r="A2273" s="557"/>
      <c r="B2273" s="557"/>
      <c r="C2273" s="539">
        <v>2211300</v>
      </c>
      <c r="D2273" s="579" t="s">
        <v>55</v>
      </c>
      <c r="E2273" s="580">
        <f>E2274+E2275</f>
        <v>1755331</v>
      </c>
      <c r="F2273" s="540">
        <f t="shared" ref="F2273:G2273" si="1647">E2273*1.1</f>
        <v>1930864.1</v>
      </c>
      <c r="G2273" s="540">
        <f t="shared" si="1647"/>
        <v>2123950.5100000002</v>
      </c>
      <c r="H2273" s="132"/>
    </row>
    <row r="2274" spans="1:8" s="290" customFormat="1" ht="15.75" outlineLevel="2">
      <c r="A2274" s="557"/>
      <c r="B2274" s="557"/>
      <c r="C2274" s="585">
        <v>2211305</v>
      </c>
      <c r="D2274" s="586" t="s">
        <v>642</v>
      </c>
      <c r="E2274" s="581">
        <v>1478875</v>
      </c>
      <c r="F2274" s="540">
        <f t="shared" ref="F2274:G2274" si="1648">E2274*1.1</f>
        <v>1626762.5000000002</v>
      </c>
      <c r="G2274" s="540">
        <f t="shared" si="1648"/>
        <v>1789438.7500000005</v>
      </c>
      <c r="H2274" s="132"/>
    </row>
    <row r="2275" spans="1:8" s="290" customFormat="1" ht="30" outlineLevel="2">
      <c r="A2275" s="557"/>
      <c r="B2275" s="557"/>
      <c r="C2275" s="512">
        <v>2211306</v>
      </c>
      <c r="D2275" s="557" t="s">
        <v>643</v>
      </c>
      <c r="E2275" s="581">
        <v>276456</v>
      </c>
      <c r="F2275" s="540">
        <f t="shared" ref="F2275:G2275" si="1649">E2275*1.1</f>
        <v>304101.60000000003</v>
      </c>
      <c r="G2275" s="540">
        <f t="shared" si="1649"/>
        <v>334511.76000000007</v>
      </c>
      <c r="H2275" s="132"/>
    </row>
    <row r="2276" spans="1:8" s="290" customFormat="1" ht="30" outlineLevel="2">
      <c r="A2276" s="557"/>
      <c r="B2276" s="557"/>
      <c r="C2276" s="539">
        <v>2220100</v>
      </c>
      <c r="D2276" s="579" t="s">
        <v>61</v>
      </c>
      <c r="E2276" s="580">
        <f>E2277</f>
        <v>547650</v>
      </c>
      <c r="F2276" s="540">
        <f t="shared" ref="F2276:G2276" si="1650">E2276*1.1</f>
        <v>602415</v>
      </c>
      <c r="G2276" s="540">
        <f t="shared" si="1650"/>
        <v>662656.5</v>
      </c>
      <c r="H2276" s="132"/>
    </row>
    <row r="2277" spans="1:8" s="290" customFormat="1" ht="15.75" outlineLevel="2">
      <c r="A2277" s="557"/>
      <c r="B2277" s="557"/>
      <c r="C2277" s="512">
        <v>2220101</v>
      </c>
      <c r="D2277" s="557" t="s">
        <v>92</v>
      </c>
      <c r="E2277" s="584">
        <v>547650</v>
      </c>
      <c r="F2277" s="540">
        <f t="shared" ref="F2277:G2277" si="1651">E2277*1.1</f>
        <v>602415</v>
      </c>
      <c r="G2277" s="540">
        <f t="shared" si="1651"/>
        <v>662656.5</v>
      </c>
      <c r="H2277" s="132"/>
    </row>
    <row r="2278" spans="1:8" s="290" customFormat="1" ht="15.75" outlineLevel="2">
      <c r="A2278" s="557"/>
      <c r="B2278" s="557"/>
      <c r="C2278" s="539">
        <v>2220200</v>
      </c>
      <c r="D2278" s="579" t="s">
        <v>114</v>
      </c>
      <c r="E2278" s="580">
        <f>E2279</f>
        <v>316415</v>
      </c>
      <c r="F2278" s="540">
        <f t="shared" ref="F2278:G2278" si="1652">E2278*1.1</f>
        <v>348056.5</v>
      </c>
      <c r="G2278" s="540">
        <f t="shared" si="1652"/>
        <v>382862.15</v>
      </c>
      <c r="H2278" s="132"/>
    </row>
    <row r="2279" spans="1:8" s="290" customFormat="1" ht="15.75" outlineLevel="2">
      <c r="A2279" s="557"/>
      <c r="B2279" s="557"/>
      <c r="C2279" s="512">
        <v>2220202</v>
      </c>
      <c r="D2279" s="557" t="s">
        <v>644</v>
      </c>
      <c r="E2279" s="581">
        <v>316415</v>
      </c>
      <c r="F2279" s="540">
        <f t="shared" ref="F2279:G2279" si="1653">E2279*1.1</f>
        <v>348056.5</v>
      </c>
      <c r="G2279" s="540">
        <f t="shared" si="1653"/>
        <v>382862.15</v>
      </c>
      <c r="H2279" s="132"/>
    </row>
    <row r="2280" spans="1:8" s="290" customFormat="1" ht="15.75" outlineLevel="2">
      <c r="A2280" s="557"/>
      <c r="B2280" s="557"/>
      <c r="C2280" s="539">
        <v>3111000</v>
      </c>
      <c r="D2280" s="579" t="s">
        <v>65</v>
      </c>
      <c r="E2280" s="580">
        <f>E2281+E2282</f>
        <v>1590000</v>
      </c>
      <c r="F2280" s="540">
        <f t="shared" ref="F2280:G2280" si="1654">E2280*1.1</f>
        <v>1749000.0000000002</v>
      </c>
      <c r="G2280" s="540">
        <f t="shared" si="1654"/>
        <v>1923900.0000000005</v>
      </c>
      <c r="H2280" s="132"/>
    </row>
    <row r="2281" spans="1:8" s="290" customFormat="1" ht="15.75" outlineLevel="2">
      <c r="A2281" s="557"/>
      <c r="B2281" s="557"/>
      <c r="C2281" s="512">
        <v>3111001</v>
      </c>
      <c r="D2281" s="557" t="s">
        <v>66</v>
      </c>
      <c r="E2281" s="581">
        <v>540000</v>
      </c>
      <c r="F2281" s="540">
        <f t="shared" ref="F2281:G2281" si="1655">E2281*1.1</f>
        <v>594000</v>
      </c>
      <c r="G2281" s="540">
        <f t="shared" si="1655"/>
        <v>653400</v>
      </c>
      <c r="H2281" s="132"/>
    </row>
    <row r="2282" spans="1:8" s="290" customFormat="1" ht="15.75" outlineLevel="2">
      <c r="A2282" s="557"/>
      <c r="B2282" s="557"/>
      <c r="C2282" s="512">
        <v>3111002</v>
      </c>
      <c r="D2282" s="557" t="s">
        <v>67</v>
      </c>
      <c r="E2282" s="581">
        <v>1050000</v>
      </c>
      <c r="F2282" s="540">
        <f t="shared" ref="F2282:G2282" si="1656">E2282*1.1</f>
        <v>1155000</v>
      </c>
      <c r="G2282" s="540">
        <f t="shared" si="1656"/>
        <v>1270500</v>
      </c>
      <c r="H2282" s="132"/>
    </row>
    <row r="2283" spans="1:8" s="291" customFormat="1" ht="15.75" outlineLevel="2">
      <c r="A2283" s="579"/>
      <c r="B2283" s="579"/>
      <c r="C2283" s="539">
        <v>3111400</v>
      </c>
      <c r="D2283" s="579" t="s">
        <v>344</v>
      </c>
      <c r="E2283" s="580">
        <f>E2284</f>
        <v>1900000</v>
      </c>
      <c r="F2283" s="540">
        <f t="shared" ref="F2283:G2283" si="1657">E2283*1.1</f>
        <v>2090000.0000000002</v>
      </c>
      <c r="G2283" s="540">
        <f t="shared" si="1657"/>
        <v>2299000.0000000005</v>
      </c>
      <c r="H2283" s="132"/>
    </row>
    <row r="2284" spans="1:8" s="290" customFormat="1" ht="15.75" outlineLevel="2">
      <c r="A2284" s="557"/>
      <c r="B2284" s="557"/>
      <c r="C2284" s="512">
        <v>3111401</v>
      </c>
      <c r="D2284" s="557" t="s">
        <v>645</v>
      </c>
      <c r="E2284" s="581">
        <v>1900000</v>
      </c>
      <c r="F2284" s="540">
        <f t="shared" ref="F2284:G2284" si="1658">E2284*1.1</f>
        <v>2090000.0000000002</v>
      </c>
      <c r="G2284" s="540">
        <f t="shared" si="1658"/>
        <v>2299000.0000000005</v>
      </c>
      <c r="H2284" s="132"/>
    </row>
    <row r="2285" spans="1:8" s="290" customFormat="1" ht="15.75" outlineLevel="1">
      <c r="A2285" s="579"/>
      <c r="B2285" s="579"/>
      <c r="C2285" s="539"/>
      <c r="D2285" s="579" t="s">
        <v>646</v>
      </c>
      <c r="E2285" s="580">
        <f>E2280+E2278+E2276+E2273+E2271+E2267+E2265+E2262+E2256+E2254+E2249+E2244+E2238+E2234+E2231+E2229+E2283</f>
        <v>104821718</v>
      </c>
      <c r="F2285" s="540">
        <f t="shared" ref="F2285:G2285" si="1659">E2285*1.1</f>
        <v>115303889.80000001</v>
      </c>
      <c r="G2285" s="540">
        <f t="shared" si="1659"/>
        <v>126834278.78000002</v>
      </c>
      <c r="H2285" s="132"/>
    </row>
    <row r="2286" spans="1:8" s="290" customFormat="1" ht="15.75" outlineLevel="1">
      <c r="A2286" s="557"/>
      <c r="B2286" s="557"/>
      <c r="C2286" s="512"/>
      <c r="D2286" s="557"/>
      <c r="E2286" s="581"/>
      <c r="F2286" s="540">
        <f t="shared" ref="F2286:G2286" si="1660">E2286*1.1</f>
        <v>0</v>
      </c>
      <c r="G2286" s="540">
        <f t="shared" si="1660"/>
        <v>0</v>
      </c>
      <c r="H2286" s="132"/>
    </row>
    <row r="2287" spans="1:8" s="290" customFormat="1" ht="15.75" outlineLevel="1">
      <c r="A2287" s="557"/>
      <c r="B2287" s="557"/>
      <c r="C2287" s="810" t="s">
        <v>647</v>
      </c>
      <c r="D2287" s="810"/>
      <c r="E2287" s="810"/>
      <c r="F2287" s="540">
        <f t="shared" ref="F2287:G2287" si="1661">E2287*1.1</f>
        <v>0</v>
      </c>
      <c r="G2287" s="540">
        <f t="shared" si="1661"/>
        <v>0</v>
      </c>
      <c r="H2287" s="132"/>
    </row>
    <row r="2288" spans="1:8" s="290" customFormat="1" ht="15.75" outlineLevel="1">
      <c r="A2288" s="557"/>
      <c r="B2288" s="557"/>
      <c r="C2288" s="539" t="s">
        <v>648</v>
      </c>
      <c r="D2288" s="579"/>
      <c r="E2288" s="581"/>
      <c r="F2288" s="540">
        <f t="shared" ref="F2288:G2288" si="1662">E2288*1.1</f>
        <v>0</v>
      </c>
      <c r="G2288" s="540">
        <f t="shared" si="1662"/>
        <v>0</v>
      </c>
      <c r="H2288" s="132"/>
    </row>
    <row r="2289" spans="1:8" s="290" customFormat="1" ht="15.75" outlineLevel="1">
      <c r="A2289" s="557"/>
      <c r="B2289" s="557"/>
      <c r="C2289" s="539" t="s">
        <v>649</v>
      </c>
      <c r="D2289" s="579"/>
      <c r="E2289" s="581"/>
      <c r="F2289" s="540">
        <f t="shared" ref="F2289:G2289" si="1663">E2289*1.1</f>
        <v>0</v>
      </c>
      <c r="G2289" s="540">
        <f t="shared" si="1663"/>
        <v>0</v>
      </c>
      <c r="H2289" s="132"/>
    </row>
    <row r="2290" spans="1:8" s="290" customFormat="1" ht="15.75" outlineLevel="3">
      <c r="A2290" s="557"/>
      <c r="B2290" s="557"/>
      <c r="C2290" s="539">
        <v>2210100</v>
      </c>
      <c r="D2290" s="579" t="s">
        <v>16</v>
      </c>
      <c r="E2290" s="580">
        <f>E2291+E2292</f>
        <v>435751</v>
      </c>
      <c r="F2290" s="540">
        <f t="shared" ref="F2290:G2290" si="1664">E2290*1.1</f>
        <v>479326.10000000003</v>
      </c>
      <c r="G2290" s="540">
        <f t="shared" si="1664"/>
        <v>527258.71000000008</v>
      </c>
      <c r="H2290" s="132"/>
    </row>
    <row r="2291" spans="1:8" s="290" customFormat="1" ht="15.75" outlineLevel="3">
      <c r="A2291" s="557"/>
      <c r="B2291" s="557"/>
      <c r="C2291" s="512">
        <v>2210101</v>
      </c>
      <c r="D2291" s="557" t="s">
        <v>650</v>
      </c>
      <c r="E2291" s="581">
        <v>261235</v>
      </c>
      <c r="F2291" s="540">
        <f t="shared" ref="F2291:G2291" si="1665">E2291*1.1</f>
        <v>287358.5</v>
      </c>
      <c r="G2291" s="540">
        <f t="shared" si="1665"/>
        <v>316094.35000000003</v>
      </c>
      <c r="H2291" s="132"/>
    </row>
    <row r="2292" spans="1:8" s="290" customFormat="1" ht="30" outlineLevel="3">
      <c r="A2292" s="557"/>
      <c r="B2292" s="557"/>
      <c r="C2292" s="512">
        <v>2210102</v>
      </c>
      <c r="D2292" s="557" t="s">
        <v>651</v>
      </c>
      <c r="E2292" s="581">
        <v>174516</v>
      </c>
      <c r="F2292" s="540">
        <f t="shared" ref="F2292:G2292" si="1666">E2292*1.1</f>
        <v>191967.6</v>
      </c>
      <c r="G2292" s="540">
        <f t="shared" si="1666"/>
        <v>211164.36000000002</v>
      </c>
      <c r="H2292" s="132"/>
    </row>
    <row r="2293" spans="1:8" s="290" customFormat="1" ht="15.75" outlineLevel="3">
      <c r="A2293" s="557"/>
      <c r="B2293" s="557"/>
      <c r="C2293" s="539">
        <v>2210200</v>
      </c>
      <c r="D2293" s="579" t="s">
        <v>19</v>
      </c>
      <c r="E2293" s="580">
        <f>E2294+E2295</f>
        <v>385590</v>
      </c>
      <c r="F2293" s="540">
        <f t="shared" ref="F2293:G2293" si="1667">E2293*1.1</f>
        <v>424149.00000000006</v>
      </c>
      <c r="G2293" s="540">
        <f t="shared" si="1667"/>
        <v>466563.90000000008</v>
      </c>
      <c r="H2293" s="132"/>
    </row>
    <row r="2294" spans="1:8" s="290" customFormat="1" ht="15.75" outlineLevel="3">
      <c r="A2294" s="557"/>
      <c r="B2294" s="557"/>
      <c r="C2294" s="512">
        <v>2210201</v>
      </c>
      <c r="D2294" s="557" t="s">
        <v>20</v>
      </c>
      <c r="E2294" s="581">
        <v>274950</v>
      </c>
      <c r="F2294" s="540">
        <f t="shared" ref="F2294:G2294" si="1668">E2294*1.1</f>
        <v>302445</v>
      </c>
      <c r="G2294" s="540">
        <f t="shared" si="1668"/>
        <v>332689.5</v>
      </c>
      <c r="H2294" s="132"/>
    </row>
    <row r="2295" spans="1:8" s="290" customFormat="1" ht="15.75" outlineLevel="3">
      <c r="A2295" s="557"/>
      <c r="B2295" s="557"/>
      <c r="C2295" s="512">
        <v>2210299</v>
      </c>
      <c r="D2295" s="557" t="s">
        <v>652</v>
      </c>
      <c r="E2295" s="581">
        <v>110640</v>
      </c>
      <c r="F2295" s="540">
        <f t="shared" ref="F2295:G2295" si="1669">E2295*1.1</f>
        <v>121704.00000000001</v>
      </c>
      <c r="G2295" s="540">
        <f t="shared" si="1669"/>
        <v>133874.40000000002</v>
      </c>
      <c r="H2295" s="132"/>
    </row>
    <row r="2296" spans="1:8" s="290" customFormat="1" ht="30" outlineLevel="3">
      <c r="A2296" s="557"/>
      <c r="B2296" s="557"/>
      <c r="C2296" s="539">
        <v>2210300</v>
      </c>
      <c r="D2296" s="579" t="s">
        <v>23</v>
      </c>
      <c r="E2296" s="580">
        <f>E2297+E2298+E2299+E2300</f>
        <v>1432325</v>
      </c>
      <c r="F2296" s="540">
        <f t="shared" ref="F2296:G2296" si="1670">E2296*1.1</f>
        <v>1575557.5000000002</v>
      </c>
      <c r="G2296" s="540">
        <f t="shared" si="1670"/>
        <v>1733113.2500000005</v>
      </c>
      <c r="H2296" s="132"/>
    </row>
    <row r="2297" spans="1:8" s="290" customFormat="1" ht="15.75" outlineLevel="3">
      <c r="A2297" s="557"/>
      <c r="B2297" s="557"/>
      <c r="C2297" s="512">
        <v>2210301</v>
      </c>
      <c r="D2297" s="557" t="s">
        <v>24</v>
      </c>
      <c r="E2297" s="581">
        <v>274675</v>
      </c>
      <c r="F2297" s="540">
        <f t="shared" ref="F2297:G2297" si="1671">E2297*1.1</f>
        <v>302142.5</v>
      </c>
      <c r="G2297" s="540">
        <f t="shared" si="1671"/>
        <v>332356.75</v>
      </c>
      <c r="H2297" s="132"/>
    </row>
    <row r="2298" spans="1:8" s="290" customFormat="1" ht="15.75" outlineLevel="3">
      <c r="A2298" s="557"/>
      <c r="B2298" s="557"/>
      <c r="C2298" s="512">
        <v>2210302</v>
      </c>
      <c r="D2298" s="557" t="s">
        <v>25</v>
      </c>
      <c r="E2298" s="581">
        <v>454850</v>
      </c>
      <c r="F2298" s="540">
        <f t="shared" ref="F2298:G2298" si="1672">E2298*1.1</f>
        <v>500335.00000000006</v>
      </c>
      <c r="G2298" s="540">
        <f t="shared" si="1672"/>
        <v>550368.50000000012</v>
      </c>
      <c r="H2298" s="132"/>
    </row>
    <row r="2299" spans="1:8" s="290" customFormat="1" ht="15.75" outlineLevel="3">
      <c r="A2299" s="557"/>
      <c r="B2299" s="557"/>
      <c r="C2299" s="512">
        <v>2210303</v>
      </c>
      <c r="D2299" s="557" t="s">
        <v>26</v>
      </c>
      <c r="E2299" s="581">
        <v>696000</v>
      </c>
      <c r="F2299" s="540">
        <f t="shared" ref="F2299:G2299" si="1673">E2299*1.1</f>
        <v>765600.00000000012</v>
      </c>
      <c r="G2299" s="540">
        <f t="shared" si="1673"/>
        <v>842160.00000000023</v>
      </c>
      <c r="H2299" s="132"/>
    </row>
    <row r="2300" spans="1:8" s="290" customFormat="1" ht="15.75" outlineLevel="3">
      <c r="A2300" s="557"/>
      <c r="B2300" s="557"/>
      <c r="C2300" s="512">
        <v>2210307</v>
      </c>
      <c r="D2300" s="557" t="s">
        <v>630</v>
      </c>
      <c r="E2300" s="581">
        <v>6800</v>
      </c>
      <c r="F2300" s="540">
        <f t="shared" ref="F2300:G2300" si="1674">E2300*1.1</f>
        <v>7480.0000000000009</v>
      </c>
      <c r="G2300" s="540">
        <f t="shared" si="1674"/>
        <v>8228.0000000000018</v>
      </c>
      <c r="H2300" s="132"/>
    </row>
    <row r="2301" spans="1:8" s="290" customFormat="1" ht="15.75" outlineLevel="3">
      <c r="A2301" s="557"/>
      <c r="B2301" s="557"/>
      <c r="C2301" s="539">
        <v>2210500</v>
      </c>
      <c r="D2301" s="579" t="s">
        <v>30</v>
      </c>
      <c r="E2301" s="580">
        <f>E2302</f>
        <v>215710</v>
      </c>
      <c r="F2301" s="540">
        <f t="shared" ref="F2301:G2301" si="1675">E2301*1.1</f>
        <v>237281.00000000003</v>
      </c>
      <c r="G2301" s="540">
        <f t="shared" si="1675"/>
        <v>261009.10000000006</v>
      </c>
      <c r="H2301" s="132"/>
    </row>
    <row r="2302" spans="1:8" s="290" customFormat="1" ht="15.75" outlineLevel="3">
      <c r="A2302" s="557"/>
      <c r="B2302" s="557"/>
      <c r="C2302" s="512">
        <v>2210502</v>
      </c>
      <c r="D2302" s="557" t="s">
        <v>634</v>
      </c>
      <c r="E2302" s="581">
        <v>215710</v>
      </c>
      <c r="F2302" s="540">
        <f t="shared" ref="F2302:G2302" si="1676">E2302*1.1</f>
        <v>237281.00000000003</v>
      </c>
      <c r="G2302" s="540">
        <f t="shared" si="1676"/>
        <v>261009.10000000006</v>
      </c>
      <c r="H2302" s="132"/>
    </row>
    <row r="2303" spans="1:8" s="290" customFormat="1" ht="15.75" outlineLevel="3">
      <c r="A2303" s="557"/>
      <c r="B2303" s="557"/>
      <c r="C2303" s="539">
        <v>2210700</v>
      </c>
      <c r="D2303" s="579" t="s">
        <v>34</v>
      </c>
      <c r="E2303" s="580">
        <f>E2304</f>
        <v>2000000</v>
      </c>
      <c r="F2303" s="540">
        <f t="shared" ref="F2303:G2303" si="1677">E2303*1.1</f>
        <v>2200000</v>
      </c>
      <c r="G2303" s="540">
        <f t="shared" si="1677"/>
        <v>2420000</v>
      </c>
      <c r="H2303" s="132"/>
    </row>
    <row r="2304" spans="1:8" s="290" customFormat="1" ht="30" outlineLevel="3">
      <c r="A2304" s="557"/>
      <c r="B2304" s="557"/>
      <c r="C2304" s="512">
        <v>2210707</v>
      </c>
      <c r="D2304" s="557" t="s">
        <v>653</v>
      </c>
      <c r="E2304" s="584">
        <v>2000000</v>
      </c>
      <c r="F2304" s="540">
        <f t="shared" ref="F2304:G2304" si="1678">E2304*1.1</f>
        <v>2200000</v>
      </c>
      <c r="G2304" s="540">
        <f t="shared" si="1678"/>
        <v>2420000</v>
      </c>
      <c r="H2304" s="132"/>
    </row>
    <row r="2305" spans="1:8" s="290" customFormat="1" ht="15.75" outlineLevel="3">
      <c r="A2305" s="557"/>
      <c r="B2305" s="557"/>
      <c r="C2305" s="539">
        <v>2210800</v>
      </c>
      <c r="D2305" s="579" t="s">
        <v>41</v>
      </c>
      <c r="E2305" s="580">
        <f>E2306+E2307</f>
        <v>679970</v>
      </c>
      <c r="F2305" s="540">
        <f t="shared" ref="F2305:G2305" si="1679">E2305*1.1</f>
        <v>747967.00000000012</v>
      </c>
      <c r="G2305" s="540">
        <f t="shared" si="1679"/>
        <v>822763.70000000019</v>
      </c>
      <c r="H2305" s="132"/>
    </row>
    <row r="2306" spans="1:8" s="290" customFormat="1" ht="30" outlineLevel="3">
      <c r="A2306" s="557"/>
      <c r="B2306" s="557"/>
      <c r="C2306" s="512">
        <v>2210801</v>
      </c>
      <c r="D2306" s="557" t="s">
        <v>85</v>
      </c>
      <c r="E2306" s="581">
        <v>323700</v>
      </c>
      <c r="F2306" s="540">
        <f t="shared" ref="F2306:G2306" si="1680">E2306*1.1</f>
        <v>356070</v>
      </c>
      <c r="G2306" s="540">
        <f t="shared" si="1680"/>
        <v>391677.00000000006</v>
      </c>
      <c r="H2306" s="132"/>
    </row>
    <row r="2307" spans="1:8" s="290" customFormat="1" ht="15.75" outlineLevel="3">
      <c r="A2307" s="557"/>
      <c r="B2307" s="557"/>
      <c r="C2307" s="512">
        <v>2210802</v>
      </c>
      <c r="D2307" s="557" t="s">
        <v>43</v>
      </c>
      <c r="E2307" s="581">
        <v>356270</v>
      </c>
      <c r="F2307" s="540">
        <f t="shared" ref="F2307:G2307" si="1681">E2307*1.1</f>
        <v>391897.00000000006</v>
      </c>
      <c r="G2307" s="540">
        <f t="shared" si="1681"/>
        <v>431086.70000000007</v>
      </c>
      <c r="H2307" s="132"/>
    </row>
    <row r="2308" spans="1:8" s="290" customFormat="1" ht="15.75" outlineLevel="3">
      <c r="A2308" s="557"/>
      <c r="B2308" s="557"/>
      <c r="C2308" s="539">
        <v>2211100</v>
      </c>
      <c r="D2308" s="579" t="s">
        <v>49</v>
      </c>
      <c r="E2308" s="580">
        <f>E2309+E2310</f>
        <v>395668</v>
      </c>
      <c r="F2308" s="540">
        <f t="shared" ref="F2308:G2308" si="1682">E2308*1.1</f>
        <v>435234.80000000005</v>
      </c>
      <c r="G2308" s="540">
        <f t="shared" si="1682"/>
        <v>478758.28000000009</v>
      </c>
      <c r="H2308" s="132"/>
    </row>
    <row r="2309" spans="1:8" s="290" customFormat="1" ht="30" outlineLevel="3">
      <c r="A2309" s="557"/>
      <c r="B2309" s="557"/>
      <c r="C2309" s="512">
        <v>2211101</v>
      </c>
      <c r="D2309" s="557" t="s">
        <v>87</v>
      </c>
      <c r="E2309" s="584">
        <v>239416</v>
      </c>
      <c r="F2309" s="540">
        <f t="shared" ref="F2309:G2309" si="1683">E2309*1.1</f>
        <v>263357.60000000003</v>
      </c>
      <c r="G2309" s="540">
        <f t="shared" si="1683"/>
        <v>289693.36000000004</v>
      </c>
      <c r="H2309" s="132"/>
    </row>
    <row r="2310" spans="1:8" s="290" customFormat="1" ht="15.75" outlineLevel="3">
      <c r="A2310" s="557"/>
      <c r="B2310" s="557"/>
      <c r="C2310" s="512">
        <v>2211103</v>
      </c>
      <c r="D2310" s="557" t="s">
        <v>52</v>
      </c>
      <c r="E2310" s="581">
        <v>156252</v>
      </c>
      <c r="F2310" s="540">
        <f t="shared" ref="F2310:G2310" si="1684">E2310*1.1</f>
        <v>171877.2</v>
      </c>
      <c r="G2310" s="540">
        <f t="shared" si="1684"/>
        <v>189064.92000000004</v>
      </c>
      <c r="H2310" s="132"/>
    </row>
    <row r="2311" spans="1:8" s="290" customFormat="1" ht="15.75" outlineLevel="3">
      <c r="A2311" s="557"/>
      <c r="B2311" s="557"/>
      <c r="C2311" s="539">
        <v>2211200</v>
      </c>
      <c r="D2311" s="579" t="s">
        <v>53</v>
      </c>
      <c r="E2311" s="580">
        <f>E2312</f>
        <v>1229890</v>
      </c>
      <c r="F2311" s="540">
        <f t="shared" ref="F2311:G2311" si="1685">E2311*1.1</f>
        <v>1352879</v>
      </c>
      <c r="G2311" s="540">
        <f t="shared" si="1685"/>
        <v>1488166.9000000001</v>
      </c>
      <c r="H2311" s="132"/>
    </row>
    <row r="2312" spans="1:8" s="290" customFormat="1" ht="15.75" outlineLevel="3">
      <c r="A2312" s="557"/>
      <c r="B2312" s="557"/>
      <c r="C2312" s="512">
        <v>2211201</v>
      </c>
      <c r="D2312" s="557" t="s">
        <v>654</v>
      </c>
      <c r="E2312" s="584">
        <v>1229890</v>
      </c>
      <c r="F2312" s="540">
        <f t="shared" ref="F2312:G2312" si="1686">E2312*1.1</f>
        <v>1352879</v>
      </c>
      <c r="G2312" s="540">
        <f t="shared" si="1686"/>
        <v>1488166.9000000001</v>
      </c>
      <c r="H2312" s="132"/>
    </row>
    <row r="2313" spans="1:8" s="290" customFormat="1" ht="15.75" outlineLevel="3">
      <c r="A2313" s="557"/>
      <c r="B2313" s="557"/>
      <c r="C2313" s="539">
        <v>2211300</v>
      </c>
      <c r="D2313" s="579" t="s">
        <v>55</v>
      </c>
      <c r="E2313" s="587">
        <f>E2314</f>
        <v>737915</v>
      </c>
      <c r="F2313" s="540">
        <f t="shared" ref="F2313:G2313" si="1687">E2313*1.1</f>
        <v>811706.50000000012</v>
      </c>
      <c r="G2313" s="540">
        <f t="shared" si="1687"/>
        <v>892877.15000000026</v>
      </c>
      <c r="H2313" s="132"/>
    </row>
    <row r="2314" spans="1:8" s="290" customFormat="1" ht="15.75" outlineLevel="3">
      <c r="A2314" s="557"/>
      <c r="B2314" s="557"/>
      <c r="C2314" s="585">
        <v>2211305</v>
      </c>
      <c r="D2314" s="586" t="s">
        <v>655</v>
      </c>
      <c r="E2314" s="584">
        <v>737915</v>
      </c>
      <c r="F2314" s="540">
        <f t="shared" ref="F2314:G2314" si="1688">E2314*1.1</f>
        <v>811706.50000000012</v>
      </c>
      <c r="G2314" s="540">
        <f t="shared" si="1688"/>
        <v>892877.15000000026</v>
      </c>
      <c r="H2314" s="132"/>
    </row>
    <row r="2315" spans="1:8" s="290" customFormat="1" ht="15.75" outlineLevel="3">
      <c r="A2315" s="557"/>
      <c r="B2315" s="557"/>
      <c r="C2315" s="539">
        <v>2220100</v>
      </c>
      <c r="D2315" s="579" t="s">
        <v>656</v>
      </c>
      <c r="E2315" s="580">
        <f>E2316</f>
        <v>268200</v>
      </c>
      <c r="F2315" s="540">
        <f t="shared" ref="F2315:G2315" si="1689">E2315*1.1</f>
        <v>295020</v>
      </c>
      <c r="G2315" s="540">
        <f t="shared" si="1689"/>
        <v>324522</v>
      </c>
      <c r="H2315" s="132"/>
    </row>
    <row r="2316" spans="1:8" s="290" customFormat="1" ht="15.75" outlineLevel="3">
      <c r="A2316" s="557"/>
      <c r="B2316" s="557"/>
      <c r="C2316" s="512">
        <v>2220101</v>
      </c>
      <c r="D2316" s="557" t="s">
        <v>657</v>
      </c>
      <c r="E2316" s="581">
        <v>268200</v>
      </c>
      <c r="F2316" s="540">
        <f t="shared" ref="F2316:G2316" si="1690">E2316*1.1</f>
        <v>295020</v>
      </c>
      <c r="G2316" s="540">
        <f t="shared" si="1690"/>
        <v>324522</v>
      </c>
      <c r="H2316" s="132"/>
    </row>
    <row r="2317" spans="1:8" s="290" customFormat="1" ht="15.75" outlineLevel="3">
      <c r="A2317" s="557"/>
      <c r="B2317" s="557"/>
      <c r="C2317" s="539">
        <v>2220200</v>
      </c>
      <c r="D2317" s="579" t="s">
        <v>658</v>
      </c>
      <c r="E2317" s="580">
        <f>E2318</f>
        <v>1258000</v>
      </c>
      <c r="F2317" s="540">
        <f t="shared" ref="F2317:G2317" si="1691">E2317*1.1</f>
        <v>1383800</v>
      </c>
      <c r="G2317" s="540">
        <f t="shared" si="1691"/>
        <v>1522180.0000000002</v>
      </c>
      <c r="H2317" s="132"/>
    </row>
    <row r="2318" spans="1:8" s="290" customFormat="1" ht="15.75" outlineLevel="3">
      <c r="A2318" s="557"/>
      <c r="B2318" s="557"/>
      <c r="C2318" s="512">
        <v>2220205</v>
      </c>
      <c r="D2318" s="571" t="s">
        <v>180</v>
      </c>
      <c r="E2318" s="581">
        <v>1258000</v>
      </c>
      <c r="F2318" s="540">
        <f t="shared" ref="F2318:G2318" si="1692">E2318*1.1</f>
        <v>1383800</v>
      </c>
      <c r="G2318" s="540">
        <f t="shared" si="1692"/>
        <v>1522180.0000000002</v>
      </c>
      <c r="H2318" s="132"/>
    </row>
    <row r="2319" spans="1:8" s="290" customFormat="1" ht="15.75" outlineLevel="3">
      <c r="A2319" s="579"/>
      <c r="B2319" s="579"/>
      <c r="C2319" s="539">
        <v>3111000</v>
      </c>
      <c r="D2319" s="579" t="s">
        <v>65</v>
      </c>
      <c r="E2319" s="580">
        <f>E2320+E2321</f>
        <v>946267</v>
      </c>
      <c r="F2319" s="540">
        <f t="shared" ref="F2319:G2319" si="1693">E2319*1.1</f>
        <v>1040893.7000000001</v>
      </c>
      <c r="G2319" s="540">
        <f t="shared" si="1693"/>
        <v>1144983.07</v>
      </c>
      <c r="H2319" s="132"/>
    </row>
    <row r="2320" spans="1:8" s="290" customFormat="1" ht="15.75" outlineLevel="3">
      <c r="A2320" s="557"/>
      <c r="B2320" s="557"/>
      <c r="C2320" s="512">
        <v>3111001</v>
      </c>
      <c r="D2320" s="557" t="s">
        <v>66</v>
      </c>
      <c r="E2320" s="581">
        <v>225450</v>
      </c>
      <c r="F2320" s="540">
        <f t="shared" ref="F2320:G2320" si="1694">E2320*1.1</f>
        <v>247995.00000000003</v>
      </c>
      <c r="G2320" s="540">
        <f t="shared" si="1694"/>
        <v>272794.50000000006</v>
      </c>
      <c r="H2320" s="132"/>
    </row>
    <row r="2321" spans="1:8" s="290" customFormat="1" ht="15.75" outlineLevel="3">
      <c r="A2321" s="557"/>
      <c r="B2321" s="557"/>
      <c r="C2321" s="512">
        <v>3111002</v>
      </c>
      <c r="D2321" s="557" t="s">
        <v>67</v>
      </c>
      <c r="E2321" s="581">
        <v>720817</v>
      </c>
      <c r="F2321" s="540">
        <f t="shared" ref="F2321:G2321" si="1695">E2321*1.1</f>
        <v>792898.70000000007</v>
      </c>
      <c r="G2321" s="540">
        <f t="shared" si="1695"/>
        <v>872188.57000000018</v>
      </c>
      <c r="H2321" s="132"/>
    </row>
    <row r="2322" spans="1:8" s="290" customFormat="1" ht="15.75" outlineLevel="3">
      <c r="A2322" s="579"/>
      <c r="B2322" s="579"/>
      <c r="C2322" s="539">
        <v>3111400</v>
      </c>
      <c r="D2322" s="579" t="s">
        <v>344</v>
      </c>
      <c r="E2322" s="580">
        <f>E2323</f>
        <v>1500000</v>
      </c>
      <c r="F2322" s="540">
        <f t="shared" ref="F2322:G2322" si="1696">E2322*1.1</f>
        <v>1650000.0000000002</v>
      </c>
      <c r="G2322" s="540">
        <f t="shared" si="1696"/>
        <v>1815000.0000000005</v>
      </c>
      <c r="H2322" s="132"/>
    </row>
    <row r="2323" spans="1:8" s="290" customFormat="1" ht="30" outlineLevel="3">
      <c r="A2323" s="557"/>
      <c r="B2323" s="557"/>
      <c r="C2323" s="512">
        <v>3111401</v>
      </c>
      <c r="D2323" s="557" t="s">
        <v>659</v>
      </c>
      <c r="E2323" s="581">
        <v>1500000</v>
      </c>
      <c r="F2323" s="540">
        <f t="shared" ref="F2323:G2323" si="1697">E2323*1.1</f>
        <v>1650000.0000000002</v>
      </c>
      <c r="G2323" s="540">
        <f t="shared" si="1697"/>
        <v>1815000.0000000005</v>
      </c>
      <c r="H2323" s="132"/>
    </row>
    <row r="2324" spans="1:8" s="290" customFormat="1" ht="15.75" outlineLevel="2">
      <c r="A2324" s="557"/>
      <c r="B2324" s="557"/>
      <c r="C2324" s="512"/>
      <c r="D2324" s="579" t="s">
        <v>660</v>
      </c>
      <c r="E2324" s="580">
        <f>E2322+E2319+E2317+E2315+E2313+E2311+E2308+E2305+E2303+E2301+E2296+E2293+E2293+E2290</f>
        <v>11870876</v>
      </c>
      <c r="F2324" s="540">
        <f t="shared" ref="F2324:G2324" si="1698">E2324*1.1</f>
        <v>13057963.600000001</v>
      </c>
      <c r="G2324" s="540">
        <f t="shared" si="1698"/>
        <v>14363759.960000003</v>
      </c>
      <c r="H2324" s="132"/>
    </row>
    <row r="2325" spans="1:8" s="290" customFormat="1" ht="15.75" outlineLevel="2">
      <c r="A2325" s="557"/>
      <c r="B2325" s="557"/>
      <c r="C2325" s="512"/>
      <c r="D2325" s="557"/>
      <c r="E2325" s="581"/>
      <c r="F2325" s="540">
        <f t="shared" ref="F2325:G2325" si="1699">E2325*1.1</f>
        <v>0</v>
      </c>
      <c r="G2325" s="540">
        <f t="shared" si="1699"/>
        <v>0</v>
      </c>
      <c r="H2325" s="132"/>
    </row>
    <row r="2326" spans="1:8" s="290" customFormat="1" ht="15.75" outlineLevel="2">
      <c r="A2326" s="557"/>
      <c r="B2326" s="557"/>
      <c r="C2326" s="539" t="s">
        <v>184</v>
      </c>
      <c r="D2326" s="557"/>
      <c r="E2326" s="581"/>
      <c r="F2326" s="540">
        <f t="shared" ref="F2326:G2326" si="1700">E2326*1.1</f>
        <v>0</v>
      </c>
      <c r="G2326" s="540">
        <f t="shared" si="1700"/>
        <v>0</v>
      </c>
      <c r="H2326" s="132"/>
    </row>
    <row r="2327" spans="1:8" s="290" customFormat="1" ht="15.75" outlineLevel="3">
      <c r="A2327" s="579"/>
      <c r="B2327" s="579"/>
      <c r="C2327" s="539">
        <v>3110200</v>
      </c>
      <c r="D2327" s="579" t="s">
        <v>661</v>
      </c>
      <c r="E2327" s="580">
        <f>E2328+E2329+E2330+E2331</f>
        <v>51000000</v>
      </c>
      <c r="F2327" s="540">
        <f t="shared" ref="F2327:G2327" si="1701">E2327*1.1</f>
        <v>56100000.000000007</v>
      </c>
      <c r="G2327" s="540">
        <f t="shared" si="1701"/>
        <v>61710000.000000015</v>
      </c>
      <c r="H2327" s="132"/>
    </row>
    <row r="2328" spans="1:8" s="290" customFormat="1" ht="30" outlineLevel="3">
      <c r="A2328" s="557"/>
      <c r="B2328" s="557"/>
      <c r="C2328" s="512">
        <v>3110202</v>
      </c>
      <c r="D2328" s="557" t="s">
        <v>662</v>
      </c>
      <c r="E2328" s="581">
        <v>4000000</v>
      </c>
      <c r="F2328" s="540">
        <f t="shared" ref="F2328:G2328" si="1702">E2328*1.1</f>
        <v>4400000</v>
      </c>
      <c r="G2328" s="540">
        <f t="shared" si="1702"/>
        <v>4840000</v>
      </c>
      <c r="H2328" s="132"/>
    </row>
    <row r="2329" spans="1:8" s="290" customFormat="1" ht="30" outlineLevel="3">
      <c r="A2329" s="557"/>
      <c r="B2329" s="557"/>
      <c r="C2329" s="512">
        <v>3110202</v>
      </c>
      <c r="D2329" s="557" t="s">
        <v>663</v>
      </c>
      <c r="E2329" s="581">
        <v>2000000</v>
      </c>
      <c r="F2329" s="540">
        <f t="shared" ref="F2329:G2329" si="1703">E2329*1.1</f>
        <v>2200000</v>
      </c>
      <c r="G2329" s="540">
        <f t="shared" si="1703"/>
        <v>2420000</v>
      </c>
      <c r="H2329" s="132"/>
    </row>
    <row r="2330" spans="1:8" s="290" customFormat="1" ht="30" outlineLevel="3">
      <c r="A2330" s="557"/>
      <c r="B2330" s="557"/>
      <c r="C2330" s="512">
        <v>3110202</v>
      </c>
      <c r="D2330" s="557" t="s">
        <v>664</v>
      </c>
      <c r="E2330" s="581">
        <v>2000000</v>
      </c>
      <c r="F2330" s="540">
        <f t="shared" ref="F2330:G2330" si="1704">E2330*1.1</f>
        <v>2200000</v>
      </c>
      <c r="G2330" s="540">
        <f t="shared" si="1704"/>
        <v>2420000</v>
      </c>
      <c r="H2330" s="132"/>
    </row>
    <row r="2331" spans="1:8" s="290" customFormat="1" ht="30" outlineLevel="3">
      <c r="A2331" s="557"/>
      <c r="B2331" s="557"/>
      <c r="C2331" s="512">
        <v>3110202</v>
      </c>
      <c r="D2331" s="557" t="s">
        <v>665</v>
      </c>
      <c r="E2331" s="581">
        <v>43000000</v>
      </c>
      <c r="F2331" s="540">
        <f t="shared" ref="F2331:G2331" si="1705">E2331*1.1</f>
        <v>47300000.000000007</v>
      </c>
      <c r="G2331" s="540">
        <f t="shared" si="1705"/>
        <v>52030000.000000015</v>
      </c>
      <c r="H2331" s="132"/>
    </row>
    <row r="2332" spans="1:8" s="290" customFormat="1" ht="15.75" outlineLevel="3">
      <c r="A2332" s="579"/>
      <c r="B2332" s="579"/>
      <c r="C2332" s="539">
        <v>3110500</v>
      </c>
      <c r="D2332" s="579" t="s">
        <v>666</v>
      </c>
      <c r="E2332" s="580">
        <f>E2333+E2334</f>
        <v>42000000</v>
      </c>
      <c r="F2332" s="540">
        <f t="shared" ref="F2332:G2332" si="1706">E2332*1.1</f>
        <v>46200000.000000007</v>
      </c>
      <c r="G2332" s="540">
        <f t="shared" si="1706"/>
        <v>50820000.000000015</v>
      </c>
      <c r="H2332" s="132"/>
    </row>
    <row r="2333" spans="1:8" s="290" customFormat="1" ht="15.75" outlineLevel="3">
      <c r="A2333" s="557"/>
      <c r="B2333" s="557"/>
      <c r="C2333" s="512">
        <v>3110504</v>
      </c>
      <c r="D2333" s="557" t="s">
        <v>667</v>
      </c>
      <c r="E2333" s="581">
        <v>20000000</v>
      </c>
      <c r="F2333" s="540">
        <f t="shared" ref="F2333:G2333" si="1707">E2333*1.1</f>
        <v>22000000</v>
      </c>
      <c r="G2333" s="540">
        <f t="shared" si="1707"/>
        <v>24200000.000000004</v>
      </c>
      <c r="H2333" s="132"/>
    </row>
    <row r="2334" spans="1:8" s="290" customFormat="1" ht="15.75" outlineLevel="3">
      <c r="A2334" s="557"/>
      <c r="B2334" s="557"/>
      <c r="C2334" s="512">
        <v>3110504</v>
      </c>
      <c r="D2334" s="557" t="s">
        <v>668</v>
      </c>
      <c r="E2334" s="581">
        <v>22000000</v>
      </c>
      <c r="F2334" s="540">
        <f t="shared" ref="F2334:G2334" si="1708">E2334*1.1</f>
        <v>24200000.000000004</v>
      </c>
      <c r="G2334" s="540">
        <f t="shared" si="1708"/>
        <v>26620000.000000007</v>
      </c>
      <c r="H2334" s="132"/>
    </row>
    <row r="2335" spans="1:8" s="290" customFormat="1" ht="15.75" outlineLevel="3">
      <c r="A2335" s="579"/>
      <c r="B2335" s="579"/>
      <c r="C2335" s="541">
        <v>3111100</v>
      </c>
      <c r="D2335" s="588" t="s">
        <v>669</v>
      </c>
      <c r="E2335" s="580">
        <f>E2336+E2337</f>
        <v>26000000</v>
      </c>
      <c r="F2335" s="540">
        <f t="shared" ref="F2335:G2335" si="1709">E2335*1.1</f>
        <v>28600000.000000004</v>
      </c>
      <c r="G2335" s="540">
        <f t="shared" si="1709"/>
        <v>31460000.000000007</v>
      </c>
      <c r="H2335" s="132"/>
    </row>
    <row r="2336" spans="1:8" s="290" customFormat="1" ht="45" outlineLevel="3">
      <c r="A2336" s="557"/>
      <c r="B2336" s="557"/>
      <c r="C2336" s="589">
        <v>3130101</v>
      </c>
      <c r="D2336" s="590" t="s">
        <v>670</v>
      </c>
      <c r="E2336" s="581">
        <v>25000000</v>
      </c>
      <c r="F2336" s="540">
        <f t="shared" ref="F2336:G2336" si="1710">E2336*1.1</f>
        <v>27500000.000000004</v>
      </c>
      <c r="G2336" s="540">
        <f t="shared" si="1710"/>
        <v>30250000.000000007</v>
      </c>
      <c r="H2336" s="132"/>
    </row>
    <row r="2337" spans="1:8" s="290" customFormat="1" ht="15.75" outlineLevel="3">
      <c r="A2337" s="557"/>
      <c r="B2337" s="557"/>
      <c r="C2337" s="589">
        <v>3130101</v>
      </c>
      <c r="D2337" s="590" t="s">
        <v>671</v>
      </c>
      <c r="E2337" s="581">
        <v>1000000</v>
      </c>
      <c r="F2337" s="540">
        <f t="shared" ref="F2337:G2337" si="1711">E2337*1.1</f>
        <v>1100000</v>
      </c>
      <c r="G2337" s="540">
        <f t="shared" si="1711"/>
        <v>1210000</v>
      </c>
      <c r="H2337" s="132"/>
    </row>
    <row r="2338" spans="1:8" s="290" customFormat="1" ht="15.75" outlineLevel="2">
      <c r="A2338" s="557"/>
      <c r="B2338" s="557"/>
      <c r="C2338" s="512"/>
      <c r="D2338" s="579" t="s">
        <v>672</v>
      </c>
      <c r="E2338" s="580">
        <f>E2335+E2332+E2327</f>
        <v>119000000</v>
      </c>
      <c r="F2338" s="540">
        <f t="shared" ref="F2338:G2338" si="1712">E2338*1.1</f>
        <v>130900000.00000001</v>
      </c>
      <c r="G2338" s="540">
        <f t="shared" si="1712"/>
        <v>143990000.00000003</v>
      </c>
      <c r="H2338" s="132"/>
    </row>
    <row r="2339" spans="1:8" s="290" customFormat="1" ht="15.75" outlineLevel="1">
      <c r="A2339" s="557"/>
      <c r="B2339" s="557"/>
      <c r="C2339" s="512"/>
      <c r="D2339" s="579" t="s">
        <v>673</v>
      </c>
      <c r="E2339" s="580">
        <f>E2338+E2324</f>
        <v>130870876</v>
      </c>
      <c r="F2339" s="540">
        <f t="shared" ref="F2339:G2339" si="1713">E2339*1.1</f>
        <v>143957963.60000002</v>
      </c>
      <c r="G2339" s="540">
        <f t="shared" si="1713"/>
        <v>158353759.96000004</v>
      </c>
      <c r="H2339" s="132"/>
    </row>
    <row r="2340" spans="1:8" s="290" customFormat="1" ht="15.75" outlineLevel="1">
      <c r="A2340" s="557"/>
      <c r="B2340" s="557"/>
      <c r="C2340" s="512"/>
      <c r="D2340" s="557"/>
      <c r="E2340" s="581"/>
      <c r="F2340" s="540">
        <f t="shared" ref="F2340:G2340" si="1714">E2340*1.1</f>
        <v>0</v>
      </c>
      <c r="G2340" s="540">
        <f t="shared" si="1714"/>
        <v>0</v>
      </c>
      <c r="H2340" s="132"/>
    </row>
    <row r="2341" spans="1:8" s="290" customFormat="1" ht="15.75" outlineLevel="1">
      <c r="A2341" s="579"/>
      <c r="B2341" s="579"/>
      <c r="C2341" s="539" t="s">
        <v>674</v>
      </c>
      <c r="D2341" s="579"/>
      <c r="E2341" s="580"/>
      <c r="F2341" s="540">
        <f t="shared" ref="F2341:G2341" si="1715">E2341*1.1</f>
        <v>0</v>
      </c>
      <c r="G2341" s="540">
        <f t="shared" si="1715"/>
        <v>0</v>
      </c>
      <c r="H2341" s="132"/>
    </row>
    <row r="2342" spans="1:8" s="290" customFormat="1" ht="15.75" outlineLevel="3">
      <c r="A2342" s="557"/>
      <c r="B2342" s="557"/>
      <c r="C2342" s="539">
        <v>2210100</v>
      </c>
      <c r="D2342" s="579" t="s">
        <v>16</v>
      </c>
      <c r="E2342" s="580">
        <f>E2343+E2344</f>
        <v>100300</v>
      </c>
      <c r="F2342" s="540">
        <f t="shared" ref="F2342:G2342" si="1716">E2342*1.1</f>
        <v>110330.00000000001</v>
      </c>
      <c r="G2342" s="540">
        <f t="shared" si="1716"/>
        <v>121363.00000000003</v>
      </c>
      <c r="H2342" s="132"/>
    </row>
    <row r="2343" spans="1:8" s="290" customFormat="1" ht="15.75" outlineLevel="3">
      <c r="A2343" s="557"/>
      <c r="B2343" s="557"/>
      <c r="C2343" s="512">
        <v>2210101</v>
      </c>
      <c r="D2343" s="557" t="s">
        <v>17</v>
      </c>
      <c r="E2343" s="581">
        <v>68700</v>
      </c>
      <c r="F2343" s="540">
        <f t="shared" ref="F2343:G2343" si="1717">E2343*1.1</f>
        <v>75570</v>
      </c>
      <c r="G2343" s="540">
        <f t="shared" si="1717"/>
        <v>83127</v>
      </c>
      <c r="H2343" s="132"/>
    </row>
    <row r="2344" spans="1:8" s="290" customFormat="1" ht="15.75" outlineLevel="3">
      <c r="A2344" s="557"/>
      <c r="B2344" s="557"/>
      <c r="C2344" s="512">
        <v>2210102</v>
      </c>
      <c r="D2344" s="557" t="s">
        <v>18</v>
      </c>
      <c r="E2344" s="581">
        <v>31600</v>
      </c>
      <c r="F2344" s="540">
        <f t="shared" ref="F2344:G2344" si="1718">E2344*1.1</f>
        <v>34760</v>
      </c>
      <c r="G2344" s="540">
        <f t="shared" si="1718"/>
        <v>38236</v>
      </c>
      <c r="H2344" s="132"/>
    </row>
    <row r="2345" spans="1:8" s="290" customFormat="1" ht="15.75" outlineLevel="3">
      <c r="A2345" s="557"/>
      <c r="B2345" s="557"/>
      <c r="C2345" s="539">
        <v>2210200</v>
      </c>
      <c r="D2345" s="579" t="s">
        <v>19</v>
      </c>
      <c r="E2345" s="580">
        <f>E2346</f>
        <v>14000</v>
      </c>
      <c r="F2345" s="540">
        <f t="shared" ref="F2345:G2345" si="1719">E2345*1.1</f>
        <v>15400.000000000002</v>
      </c>
      <c r="G2345" s="540">
        <f t="shared" si="1719"/>
        <v>16940.000000000004</v>
      </c>
      <c r="H2345" s="132"/>
    </row>
    <row r="2346" spans="1:8" s="290" customFormat="1" ht="15.75" outlineLevel="3">
      <c r="A2346" s="557"/>
      <c r="B2346" s="557"/>
      <c r="C2346" s="512">
        <v>2210203</v>
      </c>
      <c r="D2346" s="557" t="s">
        <v>22</v>
      </c>
      <c r="E2346" s="581">
        <v>14000</v>
      </c>
      <c r="F2346" s="540">
        <f t="shared" ref="F2346:G2346" si="1720">E2346*1.1</f>
        <v>15400.000000000002</v>
      </c>
      <c r="G2346" s="540">
        <f t="shared" si="1720"/>
        <v>16940.000000000004</v>
      </c>
      <c r="H2346" s="132"/>
    </row>
    <row r="2347" spans="1:8" s="290" customFormat="1" ht="30" outlineLevel="3">
      <c r="A2347" s="557"/>
      <c r="B2347" s="557"/>
      <c r="C2347" s="539">
        <v>2210300</v>
      </c>
      <c r="D2347" s="579" t="s">
        <v>23</v>
      </c>
      <c r="E2347" s="580">
        <f>E2348+E2349+E2350</f>
        <v>1499335</v>
      </c>
      <c r="F2347" s="540">
        <f t="shared" ref="F2347:G2347" si="1721">E2347*1.1</f>
        <v>1649268.5000000002</v>
      </c>
      <c r="G2347" s="540">
        <f t="shared" si="1721"/>
        <v>1814195.3500000003</v>
      </c>
      <c r="H2347" s="132"/>
    </row>
    <row r="2348" spans="1:8" s="290" customFormat="1" ht="15.75" outlineLevel="3">
      <c r="A2348" s="557"/>
      <c r="B2348" s="557"/>
      <c r="C2348" s="512">
        <v>2210301</v>
      </c>
      <c r="D2348" s="557" t="s">
        <v>24</v>
      </c>
      <c r="E2348" s="581">
        <v>338718</v>
      </c>
      <c r="F2348" s="540">
        <f t="shared" ref="F2348:G2348" si="1722">E2348*1.1</f>
        <v>372589.80000000005</v>
      </c>
      <c r="G2348" s="540">
        <f t="shared" si="1722"/>
        <v>409848.78000000009</v>
      </c>
      <c r="H2348" s="132"/>
    </row>
    <row r="2349" spans="1:8" s="290" customFormat="1" ht="15.75" outlineLevel="3">
      <c r="A2349" s="557"/>
      <c r="B2349" s="557"/>
      <c r="C2349" s="512">
        <v>2210302</v>
      </c>
      <c r="D2349" s="557" t="s">
        <v>25</v>
      </c>
      <c r="E2349" s="581">
        <v>578217</v>
      </c>
      <c r="F2349" s="540">
        <f t="shared" ref="F2349:G2349" si="1723">E2349*1.1</f>
        <v>636038.70000000007</v>
      </c>
      <c r="G2349" s="540">
        <f t="shared" si="1723"/>
        <v>699642.57000000018</v>
      </c>
      <c r="H2349" s="132"/>
    </row>
    <row r="2350" spans="1:8" s="290" customFormat="1" ht="15.75" outlineLevel="3">
      <c r="A2350" s="557"/>
      <c r="B2350" s="557"/>
      <c r="C2350" s="512">
        <v>2210303</v>
      </c>
      <c r="D2350" s="557" t="s">
        <v>26</v>
      </c>
      <c r="E2350" s="581">
        <v>582400</v>
      </c>
      <c r="F2350" s="540">
        <f t="shared" ref="F2350:G2350" si="1724">E2350*1.1</f>
        <v>640640</v>
      </c>
      <c r="G2350" s="540">
        <f t="shared" si="1724"/>
        <v>704704</v>
      </c>
      <c r="H2350" s="132"/>
    </row>
    <row r="2351" spans="1:8" s="290" customFormat="1" ht="15.75" outlineLevel="3">
      <c r="A2351" s="557"/>
      <c r="B2351" s="557"/>
      <c r="C2351" s="539">
        <v>2210500</v>
      </c>
      <c r="D2351" s="579" t="s">
        <v>30</v>
      </c>
      <c r="E2351" s="587">
        <f>E2352+E2353</f>
        <v>21018904</v>
      </c>
      <c r="F2351" s="540">
        <f t="shared" ref="F2351:G2351" si="1725">E2351*1.1</f>
        <v>23120794.400000002</v>
      </c>
      <c r="G2351" s="540">
        <f t="shared" si="1725"/>
        <v>25432873.840000004</v>
      </c>
      <c r="H2351" s="132"/>
    </row>
    <row r="2352" spans="1:8" s="290" customFormat="1" ht="30" outlineLevel="3">
      <c r="A2352" s="557"/>
      <c r="B2352" s="557"/>
      <c r="C2352" s="512">
        <v>2210504</v>
      </c>
      <c r="D2352" s="557" t="s">
        <v>675</v>
      </c>
      <c r="E2352" s="584">
        <v>3500000</v>
      </c>
      <c r="F2352" s="540">
        <f t="shared" ref="F2352:G2352" si="1726">E2352*1.1</f>
        <v>3850000.0000000005</v>
      </c>
      <c r="G2352" s="540">
        <f t="shared" si="1726"/>
        <v>4235000.0000000009</v>
      </c>
      <c r="H2352" s="132"/>
    </row>
    <row r="2353" spans="1:8" s="290" customFormat="1" ht="15.75" outlineLevel="3">
      <c r="A2353" s="557"/>
      <c r="B2353" s="557"/>
      <c r="C2353" s="512">
        <v>2210505</v>
      </c>
      <c r="D2353" s="557" t="s">
        <v>676</v>
      </c>
      <c r="E2353" s="584">
        <v>17518904</v>
      </c>
      <c r="F2353" s="540">
        <f t="shared" ref="F2353:G2353" si="1727">E2353*1.1</f>
        <v>19270794.400000002</v>
      </c>
      <c r="G2353" s="540">
        <f t="shared" si="1727"/>
        <v>21197873.840000004</v>
      </c>
      <c r="H2353" s="132"/>
    </row>
    <row r="2354" spans="1:8" s="290" customFormat="1" ht="15.75" outlineLevel="3">
      <c r="A2354" s="557"/>
      <c r="B2354" s="557"/>
      <c r="C2354" s="591">
        <v>2210700</v>
      </c>
      <c r="D2354" s="477" t="s">
        <v>34</v>
      </c>
      <c r="E2354" s="587">
        <f>E2355+E2356+E2357+E2358+E2359</f>
        <v>16300000</v>
      </c>
      <c r="F2354" s="540">
        <f t="shared" ref="F2354:G2354" si="1728">E2354*1.1</f>
        <v>17930000</v>
      </c>
      <c r="G2354" s="540">
        <f t="shared" si="1728"/>
        <v>19723000</v>
      </c>
      <c r="H2354" s="132"/>
    </row>
    <row r="2355" spans="1:8" s="290" customFormat="1" ht="15.75" outlineLevel="3">
      <c r="A2355" s="557"/>
      <c r="B2355" s="557"/>
      <c r="C2355" s="582">
        <v>2210701</v>
      </c>
      <c r="D2355" s="583" t="s">
        <v>677</v>
      </c>
      <c r="E2355" s="584">
        <v>6000000</v>
      </c>
      <c r="F2355" s="540">
        <f t="shared" ref="F2355:G2355" si="1729">E2355*1.1</f>
        <v>6600000.0000000009</v>
      </c>
      <c r="G2355" s="540">
        <f t="shared" si="1729"/>
        <v>7260000.0000000019</v>
      </c>
      <c r="H2355" s="132"/>
    </row>
    <row r="2356" spans="1:8" s="290" customFormat="1" ht="30" outlineLevel="3">
      <c r="A2356" s="557"/>
      <c r="B2356" s="557"/>
      <c r="C2356" s="582">
        <v>2210703</v>
      </c>
      <c r="D2356" s="583" t="s">
        <v>678</v>
      </c>
      <c r="E2356" s="584">
        <v>2000000</v>
      </c>
      <c r="F2356" s="540">
        <f t="shared" ref="F2356:G2356" si="1730">E2356*1.1</f>
        <v>2200000</v>
      </c>
      <c r="G2356" s="540">
        <f t="shared" si="1730"/>
        <v>2420000</v>
      </c>
      <c r="H2356" s="132"/>
    </row>
    <row r="2357" spans="1:8" s="290" customFormat="1" ht="30" outlineLevel="3">
      <c r="A2357" s="557"/>
      <c r="B2357" s="557"/>
      <c r="C2357" s="582">
        <v>2210707</v>
      </c>
      <c r="D2357" s="583" t="s">
        <v>679</v>
      </c>
      <c r="E2357" s="584">
        <v>3000000</v>
      </c>
      <c r="F2357" s="540">
        <f t="shared" ref="F2357:G2357" si="1731">E2357*1.1</f>
        <v>3300000.0000000005</v>
      </c>
      <c r="G2357" s="540">
        <f t="shared" si="1731"/>
        <v>3630000.0000000009</v>
      </c>
      <c r="H2357" s="132"/>
    </row>
    <row r="2358" spans="1:8" s="290" customFormat="1" ht="15.75" outlineLevel="3">
      <c r="A2358" s="557"/>
      <c r="B2358" s="557"/>
      <c r="C2358" s="582">
        <v>2210710</v>
      </c>
      <c r="D2358" s="557" t="s">
        <v>680</v>
      </c>
      <c r="E2358" s="584">
        <v>3000000</v>
      </c>
      <c r="F2358" s="540">
        <f t="shared" ref="F2358:G2358" si="1732">E2358*1.1</f>
        <v>3300000.0000000005</v>
      </c>
      <c r="G2358" s="540">
        <f t="shared" si="1732"/>
        <v>3630000.0000000009</v>
      </c>
      <c r="H2358" s="132"/>
    </row>
    <row r="2359" spans="1:8" s="290" customFormat="1" ht="30" outlineLevel="3">
      <c r="A2359" s="557"/>
      <c r="B2359" s="557"/>
      <c r="C2359" s="582">
        <v>2210799</v>
      </c>
      <c r="D2359" s="583" t="s">
        <v>681</v>
      </c>
      <c r="E2359" s="584">
        <v>2300000</v>
      </c>
      <c r="F2359" s="540">
        <f t="shared" ref="F2359:G2359" si="1733">E2359*1.1</f>
        <v>2530000</v>
      </c>
      <c r="G2359" s="540">
        <f t="shared" si="1733"/>
        <v>2783000</v>
      </c>
      <c r="H2359" s="132"/>
    </row>
    <row r="2360" spans="1:8" s="290" customFormat="1" ht="15.75" outlineLevel="3">
      <c r="A2360" s="579"/>
      <c r="B2360" s="579"/>
      <c r="C2360" s="539">
        <v>2210800</v>
      </c>
      <c r="D2360" s="579" t="s">
        <v>41</v>
      </c>
      <c r="E2360" s="587">
        <f>E2361+E2362+E2363+E2364+E2365</f>
        <v>17323700</v>
      </c>
      <c r="F2360" s="540">
        <f t="shared" ref="F2360:G2360" si="1734">E2360*1.1</f>
        <v>19056070</v>
      </c>
      <c r="G2360" s="540">
        <f t="shared" si="1734"/>
        <v>20961677</v>
      </c>
      <c r="H2360" s="132"/>
    </row>
    <row r="2361" spans="1:8" s="290" customFormat="1" ht="30" outlineLevel="3">
      <c r="A2361" s="557"/>
      <c r="B2361" s="557"/>
      <c r="C2361" s="512">
        <v>2210801</v>
      </c>
      <c r="D2361" s="557" t="s">
        <v>85</v>
      </c>
      <c r="E2361" s="581">
        <v>423700</v>
      </c>
      <c r="F2361" s="540">
        <f t="shared" ref="F2361:G2361" si="1735">E2361*1.1</f>
        <v>466070.00000000006</v>
      </c>
      <c r="G2361" s="540">
        <f t="shared" si="1735"/>
        <v>512677.00000000012</v>
      </c>
      <c r="H2361" s="132"/>
    </row>
    <row r="2362" spans="1:8" s="290" customFormat="1" ht="30" outlineLevel="3">
      <c r="A2362" s="557"/>
      <c r="B2362" s="557"/>
      <c r="C2362" s="512">
        <v>2210802</v>
      </c>
      <c r="D2362" s="557" t="s">
        <v>682</v>
      </c>
      <c r="E2362" s="581">
        <v>3500000</v>
      </c>
      <c r="F2362" s="540">
        <f t="shared" ref="F2362:G2362" si="1736">E2362*1.1</f>
        <v>3850000.0000000005</v>
      </c>
      <c r="G2362" s="540">
        <f t="shared" si="1736"/>
        <v>4235000.0000000009</v>
      </c>
      <c r="H2362" s="132"/>
    </row>
    <row r="2363" spans="1:8" s="290" customFormat="1" ht="15.75" outlineLevel="3">
      <c r="A2363" s="557"/>
      <c r="B2363" s="557"/>
      <c r="C2363" s="512">
        <v>2210802</v>
      </c>
      <c r="D2363" s="557" t="s">
        <v>683</v>
      </c>
      <c r="E2363" s="581">
        <v>4700000</v>
      </c>
      <c r="F2363" s="540">
        <f t="shared" ref="F2363:G2363" si="1737">E2363*1.1</f>
        <v>5170000</v>
      </c>
      <c r="G2363" s="540">
        <f t="shared" si="1737"/>
        <v>5687000</v>
      </c>
      <c r="H2363" s="132"/>
    </row>
    <row r="2364" spans="1:8" s="290" customFormat="1" ht="30" outlineLevel="3">
      <c r="A2364" s="557"/>
      <c r="B2364" s="557"/>
      <c r="C2364" s="512">
        <v>2210809</v>
      </c>
      <c r="D2364" s="557" t="s">
        <v>684</v>
      </c>
      <c r="E2364" s="581">
        <v>6000000</v>
      </c>
      <c r="F2364" s="540">
        <f t="shared" ref="F2364:G2364" si="1738">E2364*1.1</f>
        <v>6600000.0000000009</v>
      </c>
      <c r="G2364" s="540">
        <f t="shared" si="1738"/>
        <v>7260000.0000000019</v>
      </c>
      <c r="H2364" s="132"/>
    </row>
    <row r="2365" spans="1:8" s="290" customFormat="1" ht="15.75" outlineLevel="3">
      <c r="A2365" s="557"/>
      <c r="B2365" s="557"/>
      <c r="C2365" s="512">
        <v>2210809</v>
      </c>
      <c r="D2365" s="557" t="s">
        <v>685</v>
      </c>
      <c r="E2365" s="581">
        <v>2700000</v>
      </c>
      <c r="F2365" s="540">
        <f t="shared" ref="F2365:G2365" si="1739">E2365*1.1</f>
        <v>2970000.0000000005</v>
      </c>
      <c r="G2365" s="540">
        <f t="shared" si="1739"/>
        <v>3267000.0000000009</v>
      </c>
      <c r="H2365" s="132"/>
    </row>
    <row r="2366" spans="1:8" s="290" customFormat="1" ht="15.75" outlineLevel="3">
      <c r="A2366" s="579"/>
      <c r="B2366" s="579"/>
      <c r="C2366" s="539">
        <v>2211000</v>
      </c>
      <c r="D2366" s="579" t="s">
        <v>173</v>
      </c>
      <c r="E2366" s="580">
        <f>E2367+E2368</f>
        <v>623000</v>
      </c>
      <c r="F2366" s="540">
        <f t="shared" ref="F2366:G2366" si="1740">E2366*1.1</f>
        <v>685300</v>
      </c>
      <c r="G2366" s="540">
        <f t="shared" si="1740"/>
        <v>753830.00000000012</v>
      </c>
      <c r="H2366" s="132"/>
    </row>
    <row r="2367" spans="1:8" s="290" customFormat="1" ht="15.75" outlineLevel="3">
      <c r="A2367" s="557"/>
      <c r="B2367" s="557"/>
      <c r="C2367" s="512">
        <v>2211016</v>
      </c>
      <c r="D2367" s="557" t="s">
        <v>219</v>
      </c>
      <c r="E2367" s="581">
        <v>276500</v>
      </c>
      <c r="F2367" s="540">
        <f t="shared" ref="F2367:G2367" si="1741">E2367*1.1</f>
        <v>304150</v>
      </c>
      <c r="G2367" s="540">
        <f t="shared" si="1741"/>
        <v>334565</v>
      </c>
      <c r="H2367" s="132"/>
    </row>
    <row r="2368" spans="1:8" s="290" customFormat="1" ht="30" outlineLevel="3">
      <c r="A2368" s="557"/>
      <c r="B2368" s="557"/>
      <c r="C2368" s="512">
        <v>2211006</v>
      </c>
      <c r="D2368" s="557" t="s">
        <v>686</v>
      </c>
      <c r="E2368" s="581">
        <v>346500</v>
      </c>
      <c r="F2368" s="540">
        <f t="shared" ref="F2368:G2368" si="1742">E2368*1.1</f>
        <v>381150.00000000006</v>
      </c>
      <c r="G2368" s="540">
        <f t="shared" si="1742"/>
        <v>419265.00000000012</v>
      </c>
      <c r="H2368" s="132"/>
    </row>
    <row r="2369" spans="1:8" s="290" customFormat="1" ht="15.75" outlineLevel="3">
      <c r="A2369" s="579"/>
      <c r="B2369" s="579"/>
      <c r="C2369" s="539">
        <v>2211100</v>
      </c>
      <c r="D2369" s="579" t="s">
        <v>49</v>
      </c>
      <c r="E2369" s="580">
        <f>E2370+E2371</f>
        <v>338960</v>
      </c>
      <c r="F2369" s="540">
        <f t="shared" ref="F2369:G2369" si="1743">E2369*1.1</f>
        <v>372856.00000000006</v>
      </c>
      <c r="G2369" s="540">
        <f t="shared" si="1743"/>
        <v>410141.60000000009</v>
      </c>
      <c r="H2369" s="132"/>
    </row>
    <row r="2370" spans="1:8" s="290" customFormat="1" ht="30" outlineLevel="3">
      <c r="A2370" s="557"/>
      <c r="B2370" s="557"/>
      <c r="C2370" s="512">
        <v>2211101</v>
      </c>
      <c r="D2370" s="557" t="s">
        <v>87</v>
      </c>
      <c r="E2370" s="581">
        <v>253700</v>
      </c>
      <c r="F2370" s="540">
        <f t="shared" ref="F2370:G2370" si="1744">E2370*1.1</f>
        <v>279070</v>
      </c>
      <c r="G2370" s="540">
        <f t="shared" si="1744"/>
        <v>306977</v>
      </c>
      <c r="H2370" s="132"/>
    </row>
    <row r="2371" spans="1:8" s="290" customFormat="1" ht="15.75" outlineLevel="3">
      <c r="A2371" s="557"/>
      <c r="B2371" s="557"/>
      <c r="C2371" s="512">
        <v>2211103</v>
      </c>
      <c r="D2371" s="557" t="s">
        <v>52</v>
      </c>
      <c r="E2371" s="581">
        <v>85260</v>
      </c>
      <c r="F2371" s="540">
        <f t="shared" ref="F2371:G2371" si="1745">E2371*1.1</f>
        <v>93786.000000000015</v>
      </c>
      <c r="G2371" s="540">
        <f t="shared" si="1745"/>
        <v>103164.60000000002</v>
      </c>
      <c r="H2371" s="132"/>
    </row>
    <row r="2372" spans="1:8" s="290" customFormat="1" ht="15.75" outlineLevel="3">
      <c r="A2372" s="579"/>
      <c r="B2372" s="579"/>
      <c r="C2372" s="539">
        <v>2211200</v>
      </c>
      <c r="D2372" s="579" t="s">
        <v>53</v>
      </c>
      <c r="E2372" s="580">
        <f>E2373</f>
        <v>628619</v>
      </c>
      <c r="F2372" s="540">
        <f t="shared" ref="F2372:G2372" si="1746">E2372*1.1</f>
        <v>691480.9</v>
      </c>
      <c r="G2372" s="540">
        <f t="shared" si="1746"/>
        <v>760628.99000000011</v>
      </c>
      <c r="H2372" s="132"/>
    </row>
    <row r="2373" spans="1:8" s="290" customFormat="1" ht="15.75" outlineLevel="3">
      <c r="A2373" s="557"/>
      <c r="B2373" s="557"/>
      <c r="C2373" s="512">
        <v>2211201</v>
      </c>
      <c r="D2373" s="557" t="s">
        <v>91</v>
      </c>
      <c r="E2373" s="581">
        <v>628619</v>
      </c>
      <c r="F2373" s="540">
        <f t="shared" ref="F2373:G2373" si="1747">E2373*1.1</f>
        <v>691480.9</v>
      </c>
      <c r="G2373" s="540">
        <f t="shared" si="1747"/>
        <v>760628.99000000011</v>
      </c>
      <c r="H2373" s="132"/>
    </row>
    <row r="2374" spans="1:8" s="290" customFormat="1" ht="15.75" outlineLevel="3">
      <c r="A2374" s="557"/>
      <c r="B2374" s="557"/>
      <c r="C2374" s="539">
        <v>2211300</v>
      </c>
      <c r="D2374" s="579" t="s">
        <v>55</v>
      </c>
      <c r="E2374" s="587">
        <f>E2375+E2376</f>
        <v>5300000</v>
      </c>
      <c r="F2374" s="540">
        <f t="shared" ref="F2374:G2374" si="1748">E2374*1.1</f>
        <v>5830000.0000000009</v>
      </c>
      <c r="G2374" s="540">
        <f t="shared" si="1748"/>
        <v>6413000.0000000019</v>
      </c>
      <c r="H2374" s="132"/>
    </row>
    <row r="2375" spans="1:8" s="290" customFormat="1" ht="30" outlineLevel="3">
      <c r="A2375" s="557"/>
      <c r="B2375" s="557"/>
      <c r="C2375" s="512">
        <v>2211309</v>
      </c>
      <c r="D2375" s="557" t="s">
        <v>687</v>
      </c>
      <c r="E2375" s="584">
        <v>3000000</v>
      </c>
      <c r="F2375" s="540">
        <f t="shared" ref="F2375:G2375" si="1749">E2375*1.1</f>
        <v>3300000.0000000005</v>
      </c>
      <c r="G2375" s="540">
        <f t="shared" si="1749"/>
        <v>3630000.0000000009</v>
      </c>
      <c r="H2375" s="132"/>
    </row>
    <row r="2376" spans="1:8" s="290" customFormat="1" ht="15.75" outlineLevel="3">
      <c r="A2376" s="557"/>
      <c r="B2376" s="557"/>
      <c r="C2376" s="585">
        <v>2211320</v>
      </c>
      <c r="D2376" s="586" t="s">
        <v>688</v>
      </c>
      <c r="E2376" s="584">
        <v>2300000</v>
      </c>
      <c r="F2376" s="540">
        <f t="shared" ref="F2376:G2376" si="1750">E2376*1.1</f>
        <v>2530000</v>
      </c>
      <c r="G2376" s="540">
        <f t="shared" si="1750"/>
        <v>2783000</v>
      </c>
      <c r="H2376" s="132"/>
    </row>
    <row r="2377" spans="1:8" s="290" customFormat="1" ht="30" outlineLevel="3">
      <c r="A2377" s="579"/>
      <c r="B2377" s="579"/>
      <c r="C2377" s="539">
        <v>2220100</v>
      </c>
      <c r="D2377" s="579" t="s">
        <v>61</v>
      </c>
      <c r="E2377" s="580">
        <f>E2378</f>
        <v>178745</v>
      </c>
      <c r="F2377" s="540">
        <f t="shared" ref="F2377:G2377" si="1751">E2377*1.1</f>
        <v>196619.50000000003</v>
      </c>
      <c r="G2377" s="540">
        <f t="shared" si="1751"/>
        <v>216281.45000000004</v>
      </c>
      <c r="H2377" s="132"/>
    </row>
    <row r="2378" spans="1:8" s="290" customFormat="1" ht="15.75" outlineLevel="3">
      <c r="A2378" s="557"/>
      <c r="B2378" s="557"/>
      <c r="C2378" s="512">
        <v>2220101</v>
      </c>
      <c r="D2378" s="557" t="s">
        <v>92</v>
      </c>
      <c r="E2378" s="581">
        <v>178745</v>
      </c>
      <c r="F2378" s="540">
        <f t="shared" ref="F2378:G2378" si="1752">E2378*1.1</f>
        <v>196619.50000000003</v>
      </c>
      <c r="G2378" s="540">
        <f t="shared" si="1752"/>
        <v>216281.45000000004</v>
      </c>
      <c r="H2378" s="132"/>
    </row>
    <row r="2379" spans="1:8" s="290" customFormat="1" ht="15.75" outlineLevel="2">
      <c r="A2379" s="557"/>
      <c r="B2379" s="557"/>
      <c r="C2379" s="539"/>
      <c r="D2379" s="579" t="s">
        <v>689</v>
      </c>
      <c r="E2379" s="580">
        <f>E2377+E2374+E2372+E2369+E2366+E2360+E2354+E2351+E2347+E2345+E2342</f>
        <v>63325563</v>
      </c>
      <c r="F2379" s="540">
        <f t="shared" ref="F2379:G2379" si="1753">E2379*1.1</f>
        <v>69658119.300000012</v>
      </c>
      <c r="G2379" s="540">
        <f t="shared" si="1753"/>
        <v>76623931.230000019</v>
      </c>
      <c r="H2379" s="132"/>
    </row>
    <row r="2380" spans="1:8" s="290" customFormat="1" ht="15.75" outlineLevel="2">
      <c r="A2380" s="557"/>
      <c r="B2380" s="557"/>
      <c r="C2380" s="539"/>
      <c r="D2380" s="579"/>
      <c r="E2380" s="580"/>
      <c r="F2380" s="540">
        <f t="shared" ref="F2380:G2380" si="1754">E2380*1.1</f>
        <v>0</v>
      </c>
      <c r="G2380" s="540">
        <f t="shared" si="1754"/>
        <v>0</v>
      </c>
      <c r="H2380" s="132"/>
    </row>
    <row r="2381" spans="1:8" s="290" customFormat="1" ht="15.75" outlineLevel="2">
      <c r="A2381" s="557"/>
      <c r="B2381" s="557"/>
      <c r="C2381" s="512"/>
      <c r="D2381" s="557"/>
      <c r="E2381" s="580"/>
      <c r="F2381" s="540">
        <f t="shared" ref="F2381:G2381" si="1755">E2381*1.1</f>
        <v>0</v>
      </c>
      <c r="G2381" s="540">
        <f t="shared" si="1755"/>
        <v>0</v>
      </c>
      <c r="H2381" s="132"/>
    </row>
    <row r="2382" spans="1:8" s="290" customFormat="1" ht="15.75" outlineLevel="2">
      <c r="A2382" s="557"/>
      <c r="B2382" s="557"/>
      <c r="C2382" s="539" t="s">
        <v>184</v>
      </c>
      <c r="D2382" s="557"/>
      <c r="E2382" s="580"/>
      <c r="F2382" s="540">
        <f t="shared" ref="F2382:G2382" si="1756">E2382*1.1</f>
        <v>0</v>
      </c>
      <c r="G2382" s="540">
        <f t="shared" si="1756"/>
        <v>0</v>
      </c>
      <c r="H2382" s="132"/>
    </row>
    <row r="2383" spans="1:8" s="298" customFormat="1" ht="15.75" outlineLevel="3">
      <c r="A2383" s="492"/>
      <c r="B2383" s="492"/>
      <c r="C2383" s="443">
        <v>3110200</v>
      </c>
      <c r="D2383" s="492" t="s">
        <v>661</v>
      </c>
      <c r="E2383" s="592">
        <f>E2384</f>
        <v>11700000</v>
      </c>
      <c r="F2383" s="540">
        <f t="shared" ref="F2383:G2383" si="1757">E2383*1.1</f>
        <v>12870000.000000002</v>
      </c>
      <c r="G2383" s="540">
        <f t="shared" si="1757"/>
        <v>14157000.000000004</v>
      </c>
      <c r="H2383" s="132"/>
    </row>
    <row r="2384" spans="1:8" s="299" customFormat="1" ht="30" outlineLevel="3">
      <c r="A2384" s="494"/>
      <c r="B2384" s="494"/>
      <c r="C2384" s="437">
        <v>3110202</v>
      </c>
      <c r="D2384" s="494" t="s">
        <v>690</v>
      </c>
      <c r="E2384" s="593">
        <v>11700000</v>
      </c>
      <c r="F2384" s="540">
        <f t="shared" ref="F2384:G2384" si="1758">E2384*1.1</f>
        <v>12870000.000000002</v>
      </c>
      <c r="G2384" s="540">
        <f t="shared" si="1758"/>
        <v>14157000.000000004</v>
      </c>
      <c r="H2384" s="132"/>
    </row>
    <row r="2385" spans="1:8" s="291" customFormat="1" ht="15.75" outlineLevel="3">
      <c r="A2385" s="579"/>
      <c r="B2385" s="579"/>
      <c r="C2385" s="539">
        <v>3110400</v>
      </c>
      <c r="D2385" s="579" t="s">
        <v>467</v>
      </c>
      <c r="E2385" s="580">
        <f>E2386</f>
        <v>5000000</v>
      </c>
      <c r="F2385" s="540">
        <f t="shared" ref="F2385:G2385" si="1759">E2385*1.1</f>
        <v>5500000</v>
      </c>
      <c r="G2385" s="540">
        <f t="shared" si="1759"/>
        <v>6050000.0000000009</v>
      </c>
      <c r="H2385" s="132"/>
    </row>
    <row r="2386" spans="1:8" s="290" customFormat="1" ht="15.75" outlineLevel="3">
      <c r="A2386" s="557"/>
      <c r="B2386" s="557"/>
      <c r="C2386" s="512">
        <v>3110402</v>
      </c>
      <c r="D2386" s="557" t="s">
        <v>691</v>
      </c>
      <c r="E2386" s="581">
        <v>5000000</v>
      </c>
      <c r="F2386" s="540">
        <f t="shared" ref="F2386:G2386" si="1760">E2386*1.1</f>
        <v>5500000</v>
      </c>
      <c r="G2386" s="540">
        <f t="shared" si="1760"/>
        <v>6050000.0000000009</v>
      </c>
      <c r="H2386" s="132"/>
    </row>
    <row r="2387" spans="1:8" s="290" customFormat="1" ht="15.75" outlineLevel="3">
      <c r="A2387" s="557"/>
      <c r="B2387" s="557"/>
      <c r="C2387" s="539">
        <v>3110500</v>
      </c>
      <c r="D2387" s="579" t="s">
        <v>666</v>
      </c>
      <c r="E2387" s="580">
        <f>E2388+E2389+E2390+E2391+E2392+E2393</f>
        <v>40254210</v>
      </c>
      <c r="F2387" s="540">
        <f t="shared" ref="F2387:G2387" si="1761">E2387*1.1</f>
        <v>44279631</v>
      </c>
      <c r="G2387" s="540">
        <f t="shared" si="1761"/>
        <v>48707594.100000001</v>
      </c>
      <c r="H2387" s="132"/>
    </row>
    <row r="2388" spans="1:8" s="290" customFormat="1" ht="15.75" outlineLevel="3">
      <c r="A2388" s="557"/>
      <c r="B2388" s="557"/>
      <c r="C2388" s="512">
        <v>3110504</v>
      </c>
      <c r="D2388" s="557" t="s">
        <v>692</v>
      </c>
      <c r="E2388" s="581">
        <v>12000000</v>
      </c>
      <c r="F2388" s="540">
        <f t="shared" ref="F2388:G2388" si="1762">E2388*1.1</f>
        <v>13200000.000000002</v>
      </c>
      <c r="G2388" s="540">
        <f t="shared" si="1762"/>
        <v>14520000.000000004</v>
      </c>
      <c r="H2388" s="132"/>
    </row>
    <row r="2389" spans="1:8" s="290" customFormat="1" ht="30" outlineLevel="3">
      <c r="A2389" s="557"/>
      <c r="B2389" s="557"/>
      <c r="C2389" s="512">
        <v>3110504</v>
      </c>
      <c r="D2389" s="557" t="s">
        <v>693</v>
      </c>
      <c r="E2389" s="581">
        <v>9254210</v>
      </c>
      <c r="F2389" s="540">
        <f t="shared" ref="F2389:G2389" si="1763">E2389*1.1</f>
        <v>10179631</v>
      </c>
      <c r="G2389" s="540">
        <f t="shared" si="1763"/>
        <v>11197594.100000001</v>
      </c>
      <c r="H2389" s="132"/>
    </row>
    <row r="2390" spans="1:8" s="290" customFormat="1" ht="30" outlineLevel="3">
      <c r="A2390" s="557"/>
      <c r="B2390" s="557"/>
      <c r="C2390" s="512">
        <v>3110504</v>
      </c>
      <c r="D2390" s="557" t="s">
        <v>694</v>
      </c>
      <c r="E2390" s="581">
        <v>8000000</v>
      </c>
      <c r="F2390" s="540">
        <f t="shared" ref="F2390:G2390" si="1764">E2390*1.1</f>
        <v>8800000</v>
      </c>
      <c r="G2390" s="540">
        <f t="shared" si="1764"/>
        <v>9680000</v>
      </c>
      <c r="H2390" s="132"/>
    </row>
    <row r="2391" spans="1:8" s="290" customFormat="1" ht="15.75" outlineLevel="3">
      <c r="A2391" s="557"/>
      <c r="B2391" s="557"/>
      <c r="C2391" s="512">
        <v>3110504</v>
      </c>
      <c r="D2391" s="557" t="s">
        <v>695</v>
      </c>
      <c r="E2391" s="581">
        <v>3500000</v>
      </c>
      <c r="F2391" s="540">
        <f t="shared" ref="F2391:G2391" si="1765">E2391*1.1</f>
        <v>3850000.0000000005</v>
      </c>
      <c r="G2391" s="540">
        <f t="shared" si="1765"/>
        <v>4235000.0000000009</v>
      </c>
      <c r="H2391" s="132"/>
    </row>
    <row r="2392" spans="1:8" s="290" customFormat="1" ht="45" outlineLevel="3">
      <c r="A2392" s="557"/>
      <c r="B2392" s="557"/>
      <c r="C2392" s="512">
        <v>3110504</v>
      </c>
      <c r="D2392" s="557" t="s">
        <v>696</v>
      </c>
      <c r="E2392" s="581">
        <v>5000000</v>
      </c>
      <c r="F2392" s="540">
        <f t="shared" ref="F2392:G2392" si="1766">E2392*1.1</f>
        <v>5500000</v>
      </c>
      <c r="G2392" s="540">
        <f t="shared" si="1766"/>
        <v>6050000.0000000009</v>
      </c>
      <c r="H2392" s="132"/>
    </row>
    <row r="2393" spans="1:8" s="290" customFormat="1" ht="45" outlineLevel="3">
      <c r="A2393" s="557"/>
      <c r="B2393" s="557"/>
      <c r="C2393" s="512">
        <v>3110504</v>
      </c>
      <c r="D2393" s="557" t="s">
        <v>697</v>
      </c>
      <c r="E2393" s="581">
        <v>2500000</v>
      </c>
      <c r="F2393" s="540">
        <f t="shared" ref="F2393:G2393" si="1767">E2393*1.1</f>
        <v>2750000</v>
      </c>
      <c r="G2393" s="540">
        <f t="shared" si="1767"/>
        <v>3025000.0000000005</v>
      </c>
      <c r="H2393" s="132"/>
    </row>
    <row r="2394" spans="1:8" s="290" customFormat="1" ht="15.75" outlineLevel="3">
      <c r="A2394" s="557"/>
      <c r="B2394" s="557"/>
      <c r="C2394" s="539">
        <v>3111400</v>
      </c>
      <c r="D2394" s="579" t="s">
        <v>344</v>
      </c>
      <c r="E2394" s="580">
        <f>E2395+E2396+E2397</f>
        <v>16400000</v>
      </c>
      <c r="F2394" s="540">
        <f t="shared" ref="F2394:G2394" si="1768">E2394*1.1</f>
        <v>18040000</v>
      </c>
      <c r="G2394" s="540">
        <f t="shared" si="1768"/>
        <v>19844000</v>
      </c>
      <c r="H2394" s="132"/>
    </row>
    <row r="2395" spans="1:8" s="290" customFormat="1" ht="15.75" outlineLevel="3">
      <c r="A2395" s="557"/>
      <c r="B2395" s="557"/>
      <c r="C2395" s="512">
        <v>3111401</v>
      </c>
      <c r="D2395" s="557" t="s">
        <v>698</v>
      </c>
      <c r="E2395" s="581">
        <v>6500000</v>
      </c>
      <c r="F2395" s="540">
        <f t="shared" ref="F2395:G2395" si="1769">E2395*1.1</f>
        <v>7150000.0000000009</v>
      </c>
      <c r="G2395" s="540">
        <f t="shared" si="1769"/>
        <v>7865000.0000000019</v>
      </c>
      <c r="H2395" s="132"/>
    </row>
    <row r="2396" spans="1:8" s="290" customFormat="1" ht="30" outlineLevel="3">
      <c r="A2396" s="557"/>
      <c r="B2396" s="557"/>
      <c r="C2396" s="512">
        <v>3111401</v>
      </c>
      <c r="D2396" s="557" t="s">
        <v>699</v>
      </c>
      <c r="E2396" s="581">
        <v>3900000</v>
      </c>
      <c r="F2396" s="540">
        <f t="shared" ref="F2396:G2396" si="1770">E2396*1.1</f>
        <v>4290000</v>
      </c>
      <c r="G2396" s="540">
        <f t="shared" si="1770"/>
        <v>4719000</v>
      </c>
      <c r="H2396" s="132"/>
    </row>
    <row r="2397" spans="1:8" s="290" customFormat="1" ht="45" outlineLevel="3">
      <c r="A2397" s="557"/>
      <c r="B2397" s="557"/>
      <c r="C2397" s="512">
        <v>3111499</v>
      </c>
      <c r="D2397" s="557" t="s">
        <v>700</v>
      </c>
      <c r="E2397" s="581">
        <v>6000000</v>
      </c>
      <c r="F2397" s="540">
        <f t="shared" ref="F2397:G2397" si="1771">E2397*1.1</f>
        <v>6600000.0000000009</v>
      </c>
      <c r="G2397" s="540">
        <f t="shared" si="1771"/>
        <v>7260000.0000000019</v>
      </c>
      <c r="H2397" s="132"/>
    </row>
    <row r="2398" spans="1:8" s="290" customFormat="1" ht="15.75" outlineLevel="2">
      <c r="A2398" s="557"/>
      <c r="B2398" s="557"/>
      <c r="C2398" s="539"/>
      <c r="D2398" s="579" t="s">
        <v>701</v>
      </c>
      <c r="E2398" s="580">
        <f>E2394+E2387+E2385+E2383</f>
        <v>73354210</v>
      </c>
      <c r="F2398" s="540">
        <f t="shared" ref="F2398:G2398" si="1772">E2398*1.1</f>
        <v>80689631</v>
      </c>
      <c r="G2398" s="540">
        <f t="shared" si="1772"/>
        <v>88758594.100000009</v>
      </c>
      <c r="H2398" s="132"/>
    </row>
    <row r="2399" spans="1:8" s="290" customFormat="1" ht="15.75" outlineLevel="1">
      <c r="A2399" s="579"/>
      <c r="B2399" s="579"/>
      <c r="C2399" s="539"/>
      <c r="D2399" s="579" t="s">
        <v>702</v>
      </c>
      <c r="E2399" s="580">
        <f>E2398+E2379</f>
        <v>136679773</v>
      </c>
      <c r="F2399" s="540">
        <f t="shared" ref="F2399:G2399" si="1773">E2399*1.1</f>
        <v>150347750.30000001</v>
      </c>
      <c r="G2399" s="540">
        <f t="shared" si="1773"/>
        <v>165382525.33000001</v>
      </c>
      <c r="H2399" s="132"/>
    </row>
    <row r="2400" spans="1:8" s="290" customFormat="1" ht="15.75" outlineLevel="1">
      <c r="A2400" s="557"/>
      <c r="B2400" s="557"/>
      <c r="C2400" s="512"/>
      <c r="D2400" s="557"/>
      <c r="E2400" s="581"/>
      <c r="F2400" s="540">
        <f t="shared" ref="F2400:G2400" si="1774">E2400*1.1</f>
        <v>0</v>
      </c>
      <c r="G2400" s="540">
        <f t="shared" si="1774"/>
        <v>0</v>
      </c>
      <c r="H2400" s="132"/>
    </row>
    <row r="2401" spans="1:8" s="290" customFormat="1" ht="15.75" outlineLevel="1">
      <c r="A2401" s="557"/>
      <c r="B2401" s="557"/>
      <c r="C2401" s="539" t="s">
        <v>703</v>
      </c>
      <c r="D2401" s="579"/>
      <c r="E2401" s="581"/>
      <c r="F2401" s="540">
        <f t="shared" ref="F2401:G2401" si="1775">E2401*1.1</f>
        <v>0</v>
      </c>
      <c r="G2401" s="540">
        <f t="shared" si="1775"/>
        <v>0</v>
      </c>
      <c r="H2401" s="132"/>
    </row>
    <row r="2402" spans="1:8" s="290" customFormat="1" ht="15.75" outlineLevel="1">
      <c r="A2402" s="557"/>
      <c r="B2402" s="557"/>
      <c r="C2402" s="539" t="s">
        <v>704</v>
      </c>
      <c r="D2402" s="579"/>
      <c r="E2402" s="581"/>
      <c r="F2402" s="540">
        <f t="shared" ref="F2402:G2402" si="1776">E2402*1.1</f>
        <v>0</v>
      </c>
      <c r="G2402" s="540">
        <f t="shared" si="1776"/>
        <v>0</v>
      </c>
      <c r="H2402" s="132"/>
    </row>
    <row r="2403" spans="1:8" s="290" customFormat="1" ht="15.75" outlineLevel="1">
      <c r="A2403" s="557"/>
      <c r="B2403" s="557"/>
      <c r="C2403" s="539" t="s">
        <v>705</v>
      </c>
      <c r="D2403" s="579"/>
      <c r="E2403" s="581"/>
      <c r="F2403" s="540">
        <f t="shared" ref="F2403:G2403" si="1777">E2403*1.1</f>
        <v>0</v>
      </c>
      <c r="G2403" s="540">
        <f t="shared" si="1777"/>
        <v>0</v>
      </c>
      <c r="H2403" s="132"/>
    </row>
    <row r="2404" spans="1:8" s="290" customFormat="1" ht="15.75" outlineLevel="2">
      <c r="A2404" s="579"/>
      <c r="B2404" s="579"/>
      <c r="C2404" s="539">
        <v>2210100</v>
      </c>
      <c r="D2404" s="579" t="s">
        <v>16</v>
      </c>
      <c r="E2404" s="580">
        <f>E2405+E2406</f>
        <v>235751</v>
      </c>
      <c r="F2404" s="540">
        <f t="shared" ref="F2404:G2404" si="1778">E2404*1.1</f>
        <v>259326.10000000003</v>
      </c>
      <c r="G2404" s="540">
        <f t="shared" si="1778"/>
        <v>285258.71000000008</v>
      </c>
      <c r="H2404" s="132"/>
    </row>
    <row r="2405" spans="1:8" s="290" customFormat="1" ht="15.75" outlineLevel="2">
      <c r="A2405" s="557"/>
      <c r="B2405" s="557"/>
      <c r="C2405" s="512">
        <v>2210101</v>
      </c>
      <c r="D2405" s="557" t="s">
        <v>17</v>
      </c>
      <c r="E2405" s="581">
        <v>161235</v>
      </c>
      <c r="F2405" s="540">
        <f t="shared" ref="F2405:G2405" si="1779">E2405*1.1</f>
        <v>177358.5</v>
      </c>
      <c r="G2405" s="540">
        <f t="shared" si="1779"/>
        <v>195094.35</v>
      </c>
      <c r="H2405" s="132"/>
    </row>
    <row r="2406" spans="1:8" s="290" customFormat="1" ht="15.75" outlineLevel="2">
      <c r="A2406" s="557"/>
      <c r="B2406" s="557"/>
      <c r="C2406" s="512">
        <v>2210102</v>
      </c>
      <c r="D2406" s="557" t="s">
        <v>18</v>
      </c>
      <c r="E2406" s="581">
        <v>74516</v>
      </c>
      <c r="F2406" s="540">
        <f t="shared" ref="F2406:G2406" si="1780">E2406*1.1</f>
        <v>81967.600000000006</v>
      </c>
      <c r="G2406" s="540">
        <f t="shared" si="1780"/>
        <v>90164.360000000015</v>
      </c>
      <c r="H2406" s="132"/>
    </row>
    <row r="2407" spans="1:8" s="290" customFormat="1" ht="15.75" outlineLevel="2">
      <c r="A2407" s="557"/>
      <c r="B2407" s="557"/>
      <c r="C2407" s="539">
        <v>2210200</v>
      </c>
      <c r="D2407" s="579" t="s">
        <v>19</v>
      </c>
      <c r="E2407" s="580">
        <f>E2408+E2409</f>
        <v>245800</v>
      </c>
      <c r="F2407" s="540">
        <f t="shared" ref="F2407:G2407" si="1781">E2407*1.1</f>
        <v>270380</v>
      </c>
      <c r="G2407" s="540">
        <f t="shared" si="1781"/>
        <v>297418</v>
      </c>
      <c r="H2407" s="132"/>
    </row>
    <row r="2408" spans="1:8" s="290" customFormat="1" ht="15.75" outlineLevel="2">
      <c r="A2408" s="557"/>
      <c r="B2408" s="557"/>
      <c r="C2408" s="512">
        <v>2210201</v>
      </c>
      <c r="D2408" s="557" t="s">
        <v>20</v>
      </c>
      <c r="E2408" s="581">
        <v>216800</v>
      </c>
      <c r="F2408" s="540">
        <f t="shared" ref="F2408:G2408" si="1782">E2408*1.1</f>
        <v>238480.00000000003</v>
      </c>
      <c r="G2408" s="540">
        <f t="shared" si="1782"/>
        <v>262328.00000000006</v>
      </c>
      <c r="H2408" s="132"/>
    </row>
    <row r="2409" spans="1:8" s="290" customFormat="1" ht="15.75" outlineLevel="2">
      <c r="A2409" s="557"/>
      <c r="B2409" s="557"/>
      <c r="C2409" s="512">
        <v>2210203</v>
      </c>
      <c r="D2409" s="557" t="s">
        <v>22</v>
      </c>
      <c r="E2409" s="581">
        <v>29000</v>
      </c>
      <c r="F2409" s="540">
        <f t="shared" ref="F2409:G2409" si="1783">E2409*1.1</f>
        <v>31900.000000000004</v>
      </c>
      <c r="G2409" s="540">
        <f t="shared" si="1783"/>
        <v>35090.000000000007</v>
      </c>
      <c r="H2409" s="132"/>
    </row>
    <row r="2410" spans="1:8" s="290" customFormat="1" ht="30" outlineLevel="2">
      <c r="A2410" s="579"/>
      <c r="B2410" s="579"/>
      <c r="C2410" s="539">
        <v>2210300</v>
      </c>
      <c r="D2410" s="579" t="s">
        <v>23</v>
      </c>
      <c r="E2410" s="580">
        <f>E2411+E2412+E2413</f>
        <v>2968341</v>
      </c>
      <c r="F2410" s="540">
        <f t="shared" ref="F2410:G2410" si="1784">E2410*1.1</f>
        <v>3265175.1</v>
      </c>
      <c r="G2410" s="540">
        <f t="shared" si="1784"/>
        <v>3591692.6100000003</v>
      </c>
      <c r="H2410" s="132"/>
    </row>
    <row r="2411" spans="1:8" s="290" customFormat="1" ht="15.75" outlineLevel="2">
      <c r="A2411" s="557"/>
      <c r="B2411" s="557"/>
      <c r="C2411" s="512">
        <v>2210301</v>
      </c>
      <c r="D2411" s="557" t="s">
        <v>24</v>
      </c>
      <c r="E2411" s="584">
        <v>791500</v>
      </c>
      <c r="F2411" s="540">
        <f t="shared" ref="F2411:G2411" si="1785">E2411*1.1</f>
        <v>870650.00000000012</v>
      </c>
      <c r="G2411" s="540">
        <f t="shared" si="1785"/>
        <v>957715.00000000023</v>
      </c>
      <c r="H2411" s="132"/>
    </row>
    <row r="2412" spans="1:8" s="290" customFormat="1" ht="15.75" outlineLevel="2">
      <c r="A2412" s="557"/>
      <c r="B2412" s="557"/>
      <c r="C2412" s="512">
        <v>2210302</v>
      </c>
      <c r="D2412" s="557" t="s">
        <v>25</v>
      </c>
      <c r="E2412" s="584">
        <v>1112841</v>
      </c>
      <c r="F2412" s="540">
        <f t="shared" ref="F2412:G2412" si="1786">E2412*1.1</f>
        <v>1224125.1000000001</v>
      </c>
      <c r="G2412" s="540">
        <f t="shared" si="1786"/>
        <v>1346537.61</v>
      </c>
      <c r="H2412" s="132"/>
    </row>
    <row r="2413" spans="1:8" s="290" customFormat="1" ht="15.75" outlineLevel="2">
      <c r="A2413" s="557"/>
      <c r="B2413" s="557"/>
      <c r="C2413" s="512">
        <v>2210303</v>
      </c>
      <c r="D2413" s="557" t="s">
        <v>26</v>
      </c>
      <c r="E2413" s="584">
        <v>1064000</v>
      </c>
      <c r="F2413" s="540">
        <f t="shared" ref="F2413:G2413" si="1787">E2413*1.1</f>
        <v>1170400</v>
      </c>
      <c r="G2413" s="540">
        <f t="shared" si="1787"/>
        <v>1287440</v>
      </c>
      <c r="H2413" s="132"/>
    </row>
    <row r="2414" spans="1:8" s="290" customFormat="1" ht="15.75" outlineLevel="2">
      <c r="A2414" s="557"/>
      <c r="B2414" s="557"/>
      <c r="C2414" s="539">
        <v>2210500</v>
      </c>
      <c r="D2414" s="579" t="s">
        <v>30</v>
      </c>
      <c r="E2414" s="580">
        <f>E2415+E2416</f>
        <v>398386</v>
      </c>
      <c r="F2414" s="540">
        <f t="shared" ref="F2414:G2414" si="1788">E2414*1.1</f>
        <v>438224.60000000003</v>
      </c>
      <c r="G2414" s="540">
        <f t="shared" si="1788"/>
        <v>482047.06000000006</v>
      </c>
      <c r="H2414" s="132"/>
    </row>
    <row r="2415" spans="1:8" s="290" customFormat="1" ht="15.75" outlineLevel="2">
      <c r="A2415" s="557"/>
      <c r="B2415" s="557"/>
      <c r="C2415" s="512">
        <v>2210502</v>
      </c>
      <c r="D2415" s="557" t="s">
        <v>634</v>
      </c>
      <c r="E2415" s="584">
        <v>227281</v>
      </c>
      <c r="F2415" s="540">
        <f t="shared" ref="F2415:G2415" si="1789">E2415*1.1</f>
        <v>250009.1</v>
      </c>
      <c r="G2415" s="540">
        <f t="shared" si="1789"/>
        <v>275010.01</v>
      </c>
      <c r="H2415" s="132"/>
    </row>
    <row r="2416" spans="1:8" s="290" customFormat="1" ht="15.75" outlineLevel="2">
      <c r="A2416" s="557"/>
      <c r="B2416" s="557"/>
      <c r="C2416" s="512">
        <v>2210504</v>
      </c>
      <c r="D2416" s="557" t="s">
        <v>32</v>
      </c>
      <c r="E2416" s="584">
        <v>171105</v>
      </c>
      <c r="F2416" s="540">
        <f t="shared" ref="F2416:G2416" si="1790">E2416*1.1</f>
        <v>188215.50000000003</v>
      </c>
      <c r="G2416" s="540">
        <f t="shared" si="1790"/>
        <v>207037.05000000005</v>
      </c>
      <c r="H2416" s="132"/>
    </row>
    <row r="2417" spans="1:8" s="291" customFormat="1" ht="15.75" outlineLevel="2">
      <c r="A2417" s="579"/>
      <c r="B2417" s="579"/>
      <c r="C2417" s="539">
        <v>2210600</v>
      </c>
      <c r="D2417" s="579" t="s">
        <v>163</v>
      </c>
      <c r="E2417" s="587">
        <f>E2418</f>
        <v>362177</v>
      </c>
      <c r="F2417" s="540">
        <f t="shared" ref="F2417:G2417" si="1791">E2417*1.1</f>
        <v>398394.7</v>
      </c>
      <c r="G2417" s="540">
        <f t="shared" si="1791"/>
        <v>438234.17000000004</v>
      </c>
      <c r="H2417" s="132"/>
    </row>
    <row r="2418" spans="1:8" s="290" customFormat="1" ht="15.75" outlineLevel="2">
      <c r="A2418" s="557"/>
      <c r="B2418" s="557"/>
      <c r="C2418" s="512">
        <v>2210603</v>
      </c>
      <c r="D2418" s="557" t="s">
        <v>636</v>
      </c>
      <c r="E2418" s="584">
        <v>362177</v>
      </c>
      <c r="F2418" s="540">
        <f t="shared" ref="F2418:G2418" si="1792">E2418*1.1</f>
        <v>398394.7</v>
      </c>
      <c r="G2418" s="540">
        <f t="shared" si="1792"/>
        <v>438234.17000000004</v>
      </c>
      <c r="H2418" s="132"/>
    </row>
    <row r="2419" spans="1:8" s="290" customFormat="1" ht="15.75" outlineLevel="2">
      <c r="A2419" s="557"/>
      <c r="B2419" s="557"/>
      <c r="C2419" s="539">
        <v>2210700</v>
      </c>
      <c r="D2419" s="579" t="s">
        <v>165</v>
      </c>
      <c r="E2419" s="580">
        <f>E2420+E2421+E2422+E2423</f>
        <v>12100000</v>
      </c>
      <c r="F2419" s="540">
        <f t="shared" ref="F2419:G2419" si="1793">E2419*1.1</f>
        <v>13310000.000000002</v>
      </c>
      <c r="G2419" s="540">
        <f t="shared" si="1793"/>
        <v>14641000.000000004</v>
      </c>
      <c r="H2419" s="132"/>
    </row>
    <row r="2420" spans="1:8" s="739" customFormat="1" ht="15.75" outlineLevel="2">
      <c r="A2420" s="735"/>
      <c r="B2420" s="735"/>
      <c r="C2420" s="736">
        <v>2210707</v>
      </c>
      <c r="D2420" s="735" t="s">
        <v>706</v>
      </c>
      <c r="E2420" s="737">
        <v>3700000</v>
      </c>
      <c r="F2420" s="738">
        <f t="shared" ref="F2420:G2420" si="1794">E2420*1.1</f>
        <v>4070000.0000000005</v>
      </c>
      <c r="G2420" s="738">
        <f t="shared" si="1794"/>
        <v>4477000.0000000009</v>
      </c>
      <c r="H2420" s="132"/>
    </row>
    <row r="2421" spans="1:8" s="290" customFormat="1" ht="15.75" outlineLevel="2">
      <c r="A2421" s="557"/>
      <c r="B2421" s="557"/>
      <c r="C2421" s="582">
        <v>2210799</v>
      </c>
      <c r="D2421" s="583" t="s">
        <v>707</v>
      </c>
      <c r="E2421" s="581">
        <f>5000000-1000000</f>
        <v>4000000</v>
      </c>
      <c r="F2421" s="540">
        <f t="shared" ref="F2421:G2421" si="1795">E2421*1.1</f>
        <v>4400000</v>
      </c>
      <c r="G2421" s="540">
        <f t="shared" si="1795"/>
        <v>4840000</v>
      </c>
      <c r="H2421" s="132"/>
    </row>
    <row r="2422" spans="1:8" s="290" customFormat="1" ht="30" outlineLevel="2">
      <c r="A2422" s="557"/>
      <c r="B2422" s="557"/>
      <c r="C2422" s="512">
        <v>2210712</v>
      </c>
      <c r="D2422" s="557" t="s">
        <v>708</v>
      </c>
      <c r="E2422" s="581">
        <v>3000000</v>
      </c>
      <c r="F2422" s="540">
        <f t="shared" ref="F2422:G2422" si="1796">E2422*1.1</f>
        <v>3300000.0000000005</v>
      </c>
      <c r="G2422" s="540">
        <f t="shared" si="1796"/>
        <v>3630000.0000000009</v>
      </c>
      <c r="H2422" s="132"/>
    </row>
    <row r="2423" spans="1:8" s="739" customFormat="1" ht="15.75" outlineLevel="2">
      <c r="A2423" s="735"/>
      <c r="B2423" s="735"/>
      <c r="C2423" s="736">
        <v>2210715</v>
      </c>
      <c r="D2423" s="735" t="s">
        <v>709</v>
      </c>
      <c r="E2423" s="737">
        <v>1400000</v>
      </c>
      <c r="F2423" s="738">
        <f t="shared" ref="F2423:G2423" si="1797">E2423*1.1</f>
        <v>1540000.0000000002</v>
      </c>
      <c r="G2423" s="738">
        <f t="shared" si="1797"/>
        <v>1694000.0000000005</v>
      </c>
      <c r="H2423" s="132"/>
    </row>
    <row r="2424" spans="1:8" s="290" customFormat="1" ht="15.75" outlineLevel="2">
      <c r="A2424" s="557"/>
      <c r="B2424" s="557"/>
      <c r="C2424" s="539">
        <v>2210800</v>
      </c>
      <c r="D2424" s="579" t="s">
        <v>41</v>
      </c>
      <c r="E2424" s="580">
        <f>E2425+E2426+E2427+E2428</f>
        <v>11968630</v>
      </c>
      <c r="F2424" s="540">
        <f t="shared" ref="F2424:G2424" si="1798">E2424*1.1</f>
        <v>13165493.000000002</v>
      </c>
      <c r="G2424" s="540">
        <f t="shared" si="1798"/>
        <v>14482042.300000003</v>
      </c>
      <c r="H2424" s="132"/>
    </row>
    <row r="2425" spans="1:8" s="290" customFormat="1" ht="30" outlineLevel="2">
      <c r="A2425" s="557"/>
      <c r="B2425" s="557"/>
      <c r="C2425" s="512">
        <v>2210801</v>
      </c>
      <c r="D2425" s="557" t="s">
        <v>85</v>
      </c>
      <c r="E2425" s="581">
        <v>468630</v>
      </c>
      <c r="F2425" s="540">
        <f t="shared" ref="F2425:G2425" si="1799">E2425*1.1</f>
        <v>515493.00000000006</v>
      </c>
      <c r="G2425" s="540">
        <f t="shared" si="1799"/>
        <v>567042.30000000016</v>
      </c>
      <c r="H2425" s="132"/>
    </row>
    <row r="2426" spans="1:8" s="290" customFormat="1" ht="15.75" outlineLevel="2">
      <c r="A2426" s="557"/>
      <c r="B2426" s="557"/>
      <c r="C2426" s="512">
        <v>2210802</v>
      </c>
      <c r="D2426" s="557" t="s">
        <v>710</v>
      </c>
      <c r="E2426" s="581">
        <f>6500000-2000000</f>
        <v>4500000</v>
      </c>
      <c r="F2426" s="540">
        <f t="shared" ref="F2426:G2426" si="1800">E2426*1.1</f>
        <v>4950000</v>
      </c>
      <c r="G2426" s="540">
        <f t="shared" si="1800"/>
        <v>5445000</v>
      </c>
      <c r="H2426" s="132"/>
    </row>
    <row r="2427" spans="1:8" s="290" customFormat="1" ht="45" outlineLevel="2">
      <c r="A2427" s="557"/>
      <c r="B2427" s="557"/>
      <c r="C2427" s="512">
        <v>2210802</v>
      </c>
      <c r="D2427" s="557" t="s">
        <v>711</v>
      </c>
      <c r="E2427" s="581">
        <f>4500000-1000000</f>
        <v>3500000</v>
      </c>
      <c r="F2427" s="540">
        <f t="shared" ref="F2427:G2427" si="1801">E2427*1.1</f>
        <v>3850000.0000000005</v>
      </c>
      <c r="G2427" s="540">
        <f t="shared" si="1801"/>
        <v>4235000.0000000009</v>
      </c>
      <c r="H2427" s="132"/>
    </row>
    <row r="2428" spans="1:8" s="290" customFormat="1" ht="30" outlineLevel="2">
      <c r="A2428" s="557"/>
      <c r="B2428" s="557"/>
      <c r="C2428" s="512">
        <v>2210809</v>
      </c>
      <c r="D2428" s="557" t="s">
        <v>712</v>
      </c>
      <c r="E2428" s="581">
        <v>3500000</v>
      </c>
      <c r="F2428" s="540">
        <f t="shared" ref="F2428:G2428" si="1802">E2428*1.1</f>
        <v>3850000.0000000005</v>
      </c>
      <c r="G2428" s="540">
        <f t="shared" si="1802"/>
        <v>4235000.0000000009</v>
      </c>
      <c r="H2428" s="132"/>
    </row>
    <row r="2429" spans="1:8" s="290" customFormat="1" ht="15.75" outlineLevel="2">
      <c r="A2429" s="557"/>
      <c r="B2429" s="557"/>
      <c r="C2429" s="539">
        <v>2211100</v>
      </c>
      <c r="D2429" s="579" t="s">
        <v>49</v>
      </c>
      <c r="E2429" s="580">
        <f>E2430</f>
        <v>261875</v>
      </c>
      <c r="F2429" s="540">
        <f t="shared" ref="F2429:G2429" si="1803">E2429*1.1</f>
        <v>288062.5</v>
      </c>
      <c r="G2429" s="540">
        <f t="shared" si="1803"/>
        <v>316868.75</v>
      </c>
      <c r="H2429" s="132"/>
    </row>
    <row r="2430" spans="1:8" s="290" customFormat="1" ht="30" outlineLevel="2">
      <c r="A2430" s="557"/>
      <c r="B2430" s="557"/>
      <c r="C2430" s="512">
        <v>2211101</v>
      </c>
      <c r="D2430" s="557" t="s">
        <v>87</v>
      </c>
      <c r="E2430" s="581">
        <v>261875</v>
      </c>
      <c r="F2430" s="540">
        <f t="shared" ref="F2430:G2430" si="1804">E2430*1.1</f>
        <v>288062.5</v>
      </c>
      <c r="G2430" s="540">
        <f t="shared" si="1804"/>
        <v>316868.75</v>
      </c>
      <c r="H2430" s="132"/>
    </row>
    <row r="2431" spans="1:8" s="290" customFormat="1" ht="15.75" outlineLevel="2">
      <c r="A2431" s="557"/>
      <c r="B2431" s="557"/>
      <c r="C2431" s="539">
        <v>2211200</v>
      </c>
      <c r="D2431" s="579" t="s">
        <v>53</v>
      </c>
      <c r="E2431" s="580">
        <f>E2432</f>
        <v>986950</v>
      </c>
      <c r="F2431" s="540">
        <f t="shared" ref="F2431:G2431" si="1805">E2431*1.1</f>
        <v>1085645</v>
      </c>
      <c r="G2431" s="540">
        <f t="shared" si="1805"/>
        <v>1194209.5</v>
      </c>
      <c r="H2431" s="132"/>
    </row>
    <row r="2432" spans="1:8" s="290" customFormat="1" ht="15.75" outlineLevel="2">
      <c r="A2432" s="557"/>
      <c r="B2432" s="557"/>
      <c r="C2432" s="512">
        <v>2211201</v>
      </c>
      <c r="D2432" s="557" t="s">
        <v>91</v>
      </c>
      <c r="E2432" s="581">
        <v>986950</v>
      </c>
      <c r="F2432" s="540">
        <f t="shared" ref="F2432:G2432" si="1806">E2432*1.1</f>
        <v>1085645</v>
      </c>
      <c r="G2432" s="540">
        <f t="shared" si="1806"/>
        <v>1194209.5</v>
      </c>
      <c r="H2432" s="132"/>
    </row>
    <row r="2433" spans="1:8" s="290" customFormat="1" ht="15.75" outlineLevel="2">
      <c r="A2433" s="557"/>
      <c r="B2433" s="557"/>
      <c r="C2433" s="539">
        <v>2211300</v>
      </c>
      <c r="D2433" s="579" t="s">
        <v>713</v>
      </c>
      <c r="E2433" s="580">
        <f>E2434+E2435</f>
        <v>6500000</v>
      </c>
      <c r="F2433" s="540">
        <f t="shared" ref="F2433:G2433" si="1807">E2433*1.1</f>
        <v>7150000.0000000009</v>
      </c>
      <c r="G2433" s="540">
        <f t="shared" si="1807"/>
        <v>7865000.0000000019</v>
      </c>
      <c r="H2433" s="132"/>
    </row>
    <row r="2434" spans="1:8" s="290" customFormat="1" ht="30" outlineLevel="2">
      <c r="A2434" s="557"/>
      <c r="B2434" s="557"/>
      <c r="C2434" s="512">
        <v>2211309</v>
      </c>
      <c r="D2434" s="557" t="s">
        <v>714</v>
      </c>
      <c r="E2434" s="581">
        <v>3000000</v>
      </c>
      <c r="F2434" s="540">
        <f t="shared" ref="F2434:G2434" si="1808">E2434*1.1</f>
        <v>3300000.0000000005</v>
      </c>
      <c r="G2434" s="540">
        <f t="shared" si="1808"/>
        <v>3630000.0000000009</v>
      </c>
      <c r="H2434" s="132"/>
    </row>
    <row r="2435" spans="1:8" s="290" customFormat="1" ht="30" outlineLevel="2">
      <c r="A2435" s="557"/>
      <c r="B2435" s="557"/>
      <c r="C2435" s="512">
        <v>2211320</v>
      </c>
      <c r="D2435" s="557" t="s">
        <v>715</v>
      </c>
      <c r="E2435" s="581">
        <v>3500000</v>
      </c>
      <c r="F2435" s="540">
        <f t="shared" ref="F2435:G2435" si="1809">E2435*1.1</f>
        <v>3850000.0000000005</v>
      </c>
      <c r="G2435" s="540">
        <f t="shared" si="1809"/>
        <v>4235000.0000000009</v>
      </c>
      <c r="H2435" s="132"/>
    </row>
    <row r="2436" spans="1:8" s="290" customFormat="1" ht="30" outlineLevel="2">
      <c r="A2436" s="557"/>
      <c r="B2436" s="557"/>
      <c r="C2436" s="539">
        <v>2220100</v>
      </c>
      <c r="D2436" s="579" t="s">
        <v>61</v>
      </c>
      <c r="E2436" s="580">
        <f>E2437</f>
        <v>347473</v>
      </c>
      <c r="F2436" s="540">
        <f t="shared" ref="F2436:G2436" si="1810">E2436*1.1</f>
        <v>382220.30000000005</v>
      </c>
      <c r="G2436" s="540">
        <f t="shared" si="1810"/>
        <v>420442.33000000007</v>
      </c>
      <c r="H2436" s="132"/>
    </row>
    <row r="2437" spans="1:8" s="290" customFormat="1" ht="15.75" outlineLevel="2">
      <c r="A2437" s="557"/>
      <c r="B2437" s="557"/>
      <c r="C2437" s="512">
        <v>2220101</v>
      </c>
      <c r="D2437" s="557" t="s">
        <v>92</v>
      </c>
      <c r="E2437" s="584">
        <v>347473</v>
      </c>
      <c r="F2437" s="540">
        <f t="shared" ref="F2437:G2437" si="1811">E2437*1.1</f>
        <v>382220.30000000005</v>
      </c>
      <c r="G2437" s="540">
        <f t="shared" si="1811"/>
        <v>420442.33000000007</v>
      </c>
      <c r="H2437" s="132"/>
    </row>
    <row r="2438" spans="1:8" s="290" customFormat="1" ht="15.75" outlineLevel="2">
      <c r="A2438" s="557"/>
      <c r="B2438" s="557"/>
      <c r="C2438" s="539">
        <v>3111000</v>
      </c>
      <c r="D2438" s="579" t="s">
        <v>65</v>
      </c>
      <c r="E2438" s="580">
        <f>E2439+E2440</f>
        <v>2296000</v>
      </c>
      <c r="F2438" s="540">
        <f t="shared" ref="F2438:G2438" si="1812">E2438*1.1</f>
        <v>2525600</v>
      </c>
      <c r="G2438" s="540">
        <f t="shared" si="1812"/>
        <v>2778160</v>
      </c>
      <c r="H2438" s="132"/>
    </row>
    <row r="2439" spans="1:8" s="290" customFormat="1" ht="15.75" outlineLevel="2">
      <c r="A2439" s="557"/>
      <c r="B2439" s="557"/>
      <c r="C2439" s="512">
        <v>3111001</v>
      </c>
      <c r="D2439" s="557" t="s">
        <v>66</v>
      </c>
      <c r="E2439" s="584">
        <v>596000</v>
      </c>
      <c r="F2439" s="540">
        <f t="shared" ref="F2439:G2439" si="1813">E2439*1.1</f>
        <v>655600</v>
      </c>
      <c r="G2439" s="540">
        <f t="shared" si="1813"/>
        <v>721160</v>
      </c>
      <c r="H2439" s="132"/>
    </row>
    <row r="2440" spans="1:8" s="290" customFormat="1" ht="15.75" outlineLevel="2">
      <c r="A2440" s="557"/>
      <c r="B2440" s="557"/>
      <c r="C2440" s="512">
        <v>3111002</v>
      </c>
      <c r="D2440" s="557" t="s">
        <v>67</v>
      </c>
      <c r="E2440" s="584">
        <v>1700000</v>
      </c>
      <c r="F2440" s="540">
        <f t="shared" ref="F2440:G2440" si="1814">E2440*1.1</f>
        <v>1870000.0000000002</v>
      </c>
      <c r="G2440" s="540">
        <f t="shared" si="1814"/>
        <v>2057000.0000000005</v>
      </c>
      <c r="H2440" s="132"/>
    </row>
    <row r="2441" spans="1:8" s="290" customFormat="1" ht="15.75" outlineLevel="1">
      <c r="A2441" s="579"/>
      <c r="B2441" s="579"/>
      <c r="C2441" s="539"/>
      <c r="D2441" s="579" t="s">
        <v>716</v>
      </c>
      <c r="E2441" s="580">
        <f>E2438+E2436+E2433+E2431+E2429+E2424+E2419+E2417+E2414+E2410+E2407+E2404</f>
        <v>38671383</v>
      </c>
      <c r="F2441" s="540">
        <f t="shared" ref="F2441:G2441" si="1815">E2441*1.1</f>
        <v>42538521.300000004</v>
      </c>
      <c r="G2441" s="540">
        <f t="shared" si="1815"/>
        <v>46792373.430000007</v>
      </c>
      <c r="H2441" s="132"/>
    </row>
    <row r="2442" spans="1:8" s="290" customFormat="1" ht="15.75" outlineLevel="1">
      <c r="A2442" s="579"/>
      <c r="B2442" s="579"/>
      <c r="C2442" s="539"/>
      <c r="D2442" s="579"/>
      <c r="E2442" s="580"/>
      <c r="F2442" s="540">
        <f t="shared" ref="F2442:G2442" si="1816">E2442*1.1</f>
        <v>0</v>
      </c>
      <c r="G2442" s="540">
        <f t="shared" si="1816"/>
        <v>0</v>
      </c>
      <c r="H2442" s="132"/>
    </row>
    <row r="2443" spans="1:8" s="290" customFormat="1" ht="15.75" outlineLevel="1">
      <c r="A2443" s="557"/>
      <c r="B2443" s="557"/>
      <c r="C2443" s="512"/>
      <c r="D2443" s="557"/>
      <c r="E2443" s="581"/>
      <c r="F2443" s="540">
        <f t="shared" ref="F2443:G2443" si="1817">E2443*1.1</f>
        <v>0</v>
      </c>
      <c r="G2443" s="540">
        <f t="shared" si="1817"/>
        <v>0</v>
      </c>
      <c r="H2443" s="132"/>
    </row>
    <row r="2444" spans="1:8" s="290" customFormat="1" ht="15.75" outlineLevel="1">
      <c r="A2444" s="557"/>
      <c r="B2444" s="557"/>
      <c r="C2444" s="539" t="s">
        <v>717</v>
      </c>
      <c r="D2444" s="579"/>
      <c r="E2444" s="581"/>
      <c r="F2444" s="540">
        <f t="shared" ref="F2444:G2444" si="1818">E2444*1.1</f>
        <v>0</v>
      </c>
      <c r="G2444" s="540">
        <f t="shared" si="1818"/>
        <v>0</v>
      </c>
      <c r="H2444" s="132"/>
    </row>
    <row r="2445" spans="1:8" s="290" customFormat="1" ht="15.75" outlineLevel="2">
      <c r="A2445" s="579"/>
      <c r="B2445" s="579"/>
      <c r="C2445" s="539">
        <v>2210200</v>
      </c>
      <c r="D2445" s="579" t="s">
        <v>19</v>
      </c>
      <c r="E2445" s="580">
        <f>E2446</f>
        <v>189031</v>
      </c>
      <c r="F2445" s="540">
        <f t="shared" ref="F2445:G2445" si="1819">E2445*1.1</f>
        <v>207934.1</v>
      </c>
      <c r="G2445" s="540">
        <f t="shared" si="1819"/>
        <v>228727.51000000004</v>
      </c>
      <c r="H2445" s="132"/>
    </row>
    <row r="2446" spans="1:8" s="290" customFormat="1" ht="15.75" outlineLevel="2">
      <c r="A2446" s="557"/>
      <c r="B2446" s="557"/>
      <c r="C2446" s="512">
        <v>2210201</v>
      </c>
      <c r="D2446" s="557" t="s">
        <v>20</v>
      </c>
      <c r="E2446" s="581">
        <v>189031</v>
      </c>
      <c r="F2446" s="540">
        <f t="shared" ref="F2446:G2446" si="1820">E2446*1.1</f>
        <v>207934.1</v>
      </c>
      <c r="G2446" s="540">
        <f t="shared" si="1820"/>
        <v>228727.51000000004</v>
      </c>
      <c r="H2446" s="132"/>
    </row>
    <row r="2447" spans="1:8" s="290" customFormat="1" ht="30" outlineLevel="2">
      <c r="A2447" s="557"/>
      <c r="B2447" s="557"/>
      <c r="C2447" s="539">
        <v>2210300</v>
      </c>
      <c r="D2447" s="579" t="s">
        <v>23</v>
      </c>
      <c r="E2447" s="580">
        <f>E2448+E2449+E2450</f>
        <v>1171097</v>
      </c>
      <c r="F2447" s="540">
        <f t="shared" ref="F2447:G2447" si="1821">E2447*1.1</f>
        <v>1288206.7000000002</v>
      </c>
      <c r="G2447" s="540">
        <f t="shared" si="1821"/>
        <v>1417027.3700000003</v>
      </c>
      <c r="H2447" s="132"/>
    </row>
    <row r="2448" spans="1:8" s="290" customFormat="1" ht="15.75" outlineLevel="2">
      <c r="A2448" s="557"/>
      <c r="B2448" s="557"/>
      <c r="C2448" s="512">
        <v>2210301</v>
      </c>
      <c r="D2448" s="557" t="s">
        <v>24</v>
      </c>
      <c r="E2448" s="584">
        <v>293505</v>
      </c>
      <c r="F2448" s="540">
        <f t="shared" ref="F2448:G2448" si="1822">E2448*1.1</f>
        <v>322855.5</v>
      </c>
      <c r="G2448" s="540">
        <f t="shared" si="1822"/>
        <v>355141.05000000005</v>
      </c>
      <c r="H2448" s="132"/>
    </row>
    <row r="2449" spans="1:8" s="290" customFormat="1" ht="15.75" outlineLevel="2">
      <c r="A2449" s="557"/>
      <c r="B2449" s="557"/>
      <c r="C2449" s="512">
        <v>2210302</v>
      </c>
      <c r="D2449" s="557" t="s">
        <v>25</v>
      </c>
      <c r="E2449" s="584">
        <v>412642</v>
      </c>
      <c r="F2449" s="540">
        <f t="shared" ref="F2449:G2449" si="1823">E2449*1.1</f>
        <v>453906.2</v>
      </c>
      <c r="G2449" s="540">
        <f t="shared" si="1823"/>
        <v>499296.82000000007</v>
      </c>
      <c r="H2449" s="132"/>
    </row>
    <row r="2450" spans="1:8" s="290" customFormat="1" ht="15.75" outlineLevel="2">
      <c r="A2450" s="557"/>
      <c r="B2450" s="557"/>
      <c r="C2450" s="512">
        <v>2210303</v>
      </c>
      <c r="D2450" s="557" t="s">
        <v>26</v>
      </c>
      <c r="E2450" s="584">
        <v>464950</v>
      </c>
      <c r="F2450" s="540">
        <f t="shared" ref="F2450:G2450" si="1824">E2450*1.1</f>
        <v>511445.00000000006</v>
      </c>
      <c r="G2450" s="540">
        <f t="shared" si="1824"/>
        <v>562589.50000000012</v>
      </c>
      <c r="H2450" s="132"/>
    </row>
    <row r="2451" spans="1:8" s="290" customFormat="1" ht="15.75" outlineLevel="2">
      <c r="A2451" s="557"/>
      <c r="B2451" s="557"/>
      <c r="C2451" s="539">
        <v>2210500</v>
      </c>
      <c r="D2451" s="579" t="s">
        <v>30</v>
      </c>
      <c r="E2451" s="580">
        <f>E2452+E2453+E2454+E2455+E2456</f>
        <v>16945679</v>
      </c>
      <c r="F2451" s="540">
        <f t="shared" ref="F2451:G2451" si="1825">E2451*1.1</f>
        <v>18640246.900000002</v>
      </c>
      <c r="G2451" s="540">
        <f t="shared" si="1825"/>
        <v>20504271.590000004</v>
      </c>
      <c r="H2451" s="132"/>
    </row>
    <row r="2452" spans="1:8" s="290" customFormat="1" ht="30" outlineLevel="2">
      <c r="A2452" s="557"/>
      <c r="B2452" s="557"/>
      <c r="C2452" s="512">
        <v>2210502</v>
      </c>
      <c r="D2452" s="557" t="s">
        <v>718</v>
      </c>
      <c r="E2452" s="581">
        <v>4200000</v>
      </c>
      <c r="F2452" s="540">
        <f t="shared" ref="F2452:G2452" si="1826">E2452*1.1</f>
        <v>4620000</v>
      </c>
      <c r="G2452" s="540">
        <f t="shared" si="1826"/>
        <v>5082000</v>
      </c>
      <c r="H2452" s="132"/>
    </row>
    <row r="2453" spans="1:8" s="290" customFormat="1" ht="15.75" outlineLevel="2">
      <c r="A2453" s="557"/>
      <c r="B2453" s="557"/>
      <c r="C2453" s="512">
        <v>2210504</v>
      </c>
      <c r="D2453" s="557" t="s">
        <v>719</v>
      </c>
      <c r="E2453" s="581">
        <v>1500000</v>
      </c>
      <c r="F2453" s="540">
        <f t="shared" ref="F2453:G2453" si="1827">E2453*1.1</f>
        <v>1650000.0000000002</v>
      </c>
      <c r="G2453" s="540">
        <f t="shared" si="1827"/>
        <v>1815000.0000000005</v>
      </c>
      <c r="H2453" s="132"/>
    </row>
    <row r="2454" spans="1:8" s="290" customFormat="1" ht="15.75" outlineLevel="2">
      <c r="A2454" s="557"/>
      <c r="B2454" s="557"/>
      <c r="C2454" s="512">
        <v>2210504</v>
      </c>
      <c r="D2454" s="557" t="s">
        <v>720</v>
      </c>
      <c r="E2454" s="581">
        <v>5250000</v>
      </c>
      <c r="F2454" s="540">
        <f t="shared" ref="F2454:G2454" si="1828">E2454*1.1</f>
        <v>5775000.0000000009</v>
      </c>
      <c r="G2454" s="540">
        <f t="shared" si="1828"/>
        <v>6352500.0000000019</v>
      </c>
      <c r="H2454" s="132"/>
    </row>
    <row r="2455" spans="1:8" s="739" customFormat="1" ht="45" outlineLevel="2">
      <c r="A2455" s="735"/>
      <c r="B2455" s="735"/>
      <c r="C2455" s="736">
        <v>2210504</v>
      </c>
      <c r="D2455" s="735" t="s">
        <v>721</v>
      </c>
      <c r="E2455" s="737">
        <v>5700000</v>
      </c>
      <c r="F2455" s="738">
        <f t="shared" ref="F2455:G2455" si="1829">E2455*1.1</f>
        <v>6270000.0000000009</v>
      </c>
      <c r="G2455" s="738">
        <f t="shared" si="1829"/>
        <v>6897000.0000000019</v>
      </c>
      <c r="H2455" s="132"/>
    </row>
    <row r="2456" spans="1:8" s="290" customFormat="1" ht="15.75" outlineLevel="2">
      <c r="A2456" s="557"/>
      <c r="B2456" s="557"/>
      <c r="C2456" s="512">
        <v>2210505</v>
      </c>
      <c r="D2456" s="557" t="s">
        <v>213</v>
      </c>
      <c r="E2456" s="581">
        <v>295679</v>
      </c>
      <c r="F2456" s="540">
        <f t="shared" ref="F2456:G2458" si="1830">E2456*1.1</f>
        <v>325246.90000000002</v>
      </c>
      <c r="G2456" s="540">
        <f t="shared" si="1830"/>
        <v>357771.59</v>
      </c>
      <c r="H2456" s="132"/>
    </row>
    <row r="2457" spans="1:8" s="291" customFormat="1" outlineLevel="2">
      <c r="A2457" s="579"/>
      <c r="B2457" s="579"/>
      <c r="C2457" s="539">
        <v>2210700</v>
      </c>
      <c r="D2457" s="579" t="s">
        <v>165</v>
      </c>
      <c r="E2457" s="580">
        <f>E2458</f>
        <v>670000</v>
      </c>
      <c r="F2457" s="580">
        <f t="shared" ref="F2457:G2457" si="1831">F2458</f>
        <v>737000.00000000012</v>
      </c>
      <c r="G2457" s="580">
        <f t="shared" si="1831"/>
        <v>810700.00000000023</v>
      </c>
      <c r="H2457" s="132"/>
    </row>
    <row r="2458" spans="1:8" s="739" customFormat="1" ht="15.75" outlineLevel="2">
      <c r="A2458" s="735"/>
      <c r="B2458" s="735"/>
      <c r="C2458" s="736">
        <v>2210715</v>
      </c>
      <c r="D2458" s="735" t="s">
        <v>709</v>
      </c>
      <c r="E2458" s="737">
        <v>670000</v>
      </c>
      <c r="F2458" s="738">
        <f t="shared" si="1830"/>
        <v>737000.00000000012</v>
      </c>
      <c r="G2458" s="738">
        <f t="shared" si="1830"/>
        <v>810700.00000000023</v>
      </c>
      <c r="H2458" s="132"/>
    </row>
    <row r="2459" spans="1:8" s="290" customFormat="1" ht="15.75" outlineLevel="2">
      <c r="A2459" s="579"/>
      <c r="B2459" s="579"/>
      <c r="C2459" s="539">
        <v>2210800</v>
      </c>
      <c r="D2459" s="579" t="s">
        <v>41</v>
      </c>
      <c r="E2459" s="580">
        <f>E2460+E2461</f>
        <v>625910</v>
      </c>
      <c r="F2459" s="540">
        <f t="shared" ref="F2459:G2459" si="1832">E2459*1.1</f>
        <v>688501</v>
      </c>
      <c r="G2459" s="540">
        <f t="shared" si="1832"/>
        <v>757351.10000000009</v>
      </c>
      <c r="H2459" s="132"/>
    </row>
    <row r="2460" spans="1:8" s="290" customFormat="1" ht="30" outlineLevel="2">
      <c r="A2460" s="557"/>
      <c r="B2460" s="557"/>
      <c r="C2460" s="512">
        <v>2210801</v>
      </c>
      <c r="D2460" s="557" t="s">
        <v>85</v>
      </c>
      <c r="E2460" s="581">
        <v>348290</v>
      </c>
      <c r="F2460" s="540">
        <f t="shared" ref="F2460:G2460" si="1833">E2460*1.1</f>
        <v>383119.00000000006</v>
      </c>
      <c r="G2460" s="540">
        <f t="shared" si="1833"/>
        <v>421430.90000000008</v>
      </c>
      <c r="H2460" s="132"/>
    </row>
    <row r="2461" spans="1:8" s="290" customFormat="1" ht="15.75" outlineLevel="2">
      <c r="A2461" s="557"/>
      <c r="B2461" s="557"/>
      <c r="C2461" s="512">
        <v>2210802</v>
      </c>
      <c r="D2461" s="557" t="s">
        <v>86</v>
      </c>
      <c r="E2461" s="581">
        <v>277620</v>
      </c>
      <c r="F2461" s="540">
        <f t="shared" ref="F2461:G2461" si="1834">E2461*1.1</f>
        <v>305382</v>
      </c>
      <c r="G2461" s="540">
        <f t="shared" si="1834"/>
        <v>335920.2</v>
      </c>
      <c r="H2461" s="132"/>
    </row>
    <row r="2462" spans="1:8" s="290" customFormat="1" ht="15.75" outlineLevel="2">
      <c r="A2462" s="579"/>
      <c r="B2462" s="579"/>
      <c r="C2462" s="539">
        <v>2211100</v>
      </c>
      <c r="D2462" s="579" t="s">
        <v>49</v>
      </c>
      <c r="E2462" s="580">
        <f>E2463</f>
        <v>231873</v>
      </c>
      <c r="F2462" s="540">
        <f t="shared" ref="F2462:G2462" si="1835">E2462*1.1</f>
        <v>255060.30000000002</v>
      </c>
      <c r="G2462" s="540">
        <f t="shared" si="1835"/>
        <v>280566.33</v>
      </c>
      <c r="H2462" s="132"/>
    </row>
    <row r="2463" spans="1:8" s="290" customFormat="1" ht="30" outlineLevel="2">
      <c r="A2463" s="557"/>
      <c r="B2463" s="557"/>
      <c r="C2463" s="512">
        <v>2211101</v>
      </c>
      <c r="D2463" s="557" t="s">
        <v>722</v>
      </c>
      <c r="E2463" s="581">
        <v>231873</v>
      </c>
      <c r="F2463" s="540">
        <f t="shared" ref="F2463:G2463" si="1836">E2463*1.1</f>
        <v>255060.30000000002</v>
      </c>
      <c r="G2463" s="540">
        <f t="shared" si="1836"/>
        <v>280566.33</v>
      </c>
      <c r="H2463" s="132"/>
    </row>
    <row r="2464" spans="1:8" s="290" customFormat="1" ht="15.75" outlineLevel="2">
      <c r="A2464" s="557"/>
      <c r="B2464" s="557"/>
      <c r="C2464" s="539">
        <v>2211200</v>
      </c>
      <c r="D2464" s="579" t="s">
        <v>53</v>
      </c>
      <c r="E2464" s="580">
        <f>E2465</f>
        <v>495215</v>
      </c>
      <c r="F2464" s="540">
        <f t="shared" ref="F2464:G2464" si="1837">E2464*1.1</f>
        <v>544736.5</v>
      </c>
      <c r="G2464" s="540">
        <f t="shared" si="1837"/>
        <v>599210.15</v>
      </c>
      <c r="H2464" s="132"/>
    </row>
    <row r="2465" spans="1:8" s="290" customFormat="1" ht="15.75" outlineLevel="2">
      <c r="A2465" s="557"/>
      <c r="B2465" s="557"/>
      <c r="C2465" s="512">
        <v>2211201</v>
      </c>
      <c r="D2465" s="557" t="s">
        <v>91</v>
      </c>
      <c r="E2465" s="581">
        <v>495215</v>
      </c>
      <c r="F2465" s="540">
        <f t="shared" ref="F2465:G2465" si="1838">E2465*1.1</f>
        <v>544736.5</v>
      </c>
      <c r="G2465" s="540">
        <f t="shared" si="1838"/>
        <v>599210.15</v>
      </c>
      <c r="H2465" s="132"/>
    </row>
    <row r="2466" spans="1:8" s="290" customFormat="1" ht="15.75" outlineLevel="2">
      <c r="A2466" s="579"/>
      <c r="B2466" s="579"/>
      <c r="C2466" s="539">
        <v>2211300</v>
      </c>
      <c r="D2466" s="579" t="s">
        <v>55</v>
      </c>
      <c r="E2466" s="580">
        <f>E2467+E2468+E2469</f>
        <v>3573170</v>
      </c>
      <c r="F2466" s="540">
        <f t="shared" ref="F2466:G2466" si="1839">E2466*1.1</f>
        <v>3930487.0000000005</v>
      </c>
      <c r="G2466" s="540">
        <f t="shared" si="1839"/>
        <v>4323535.7000000011</v>
      </c>
      <c r="H2466" s="132"/>
    </row>
    <row r="2467" spans="1:8" s="739" customFormat="1" ht="30" outlineLevel="2">
      <c r="A2467" s="740"/>
      <c r="B2467" s="740"/>
      <c r="C2467" s="736">
        <v>2211306</v>
      </c>
      <c r="D2467" s="735" t="s">
        <v>643</v>
      </c>
      <c r="E2467" s="737">
        <v>26456</v>
      </c>
      <c r="F2467" s="738">
        <f t="shared" ref="F2467:G2467" si="1840">E2467*1.1</f>
        <v>29101.600000000002</v>
      </c>
      <c r="G2467" s="738">
        <f t="shared" si="1840"/>
        <v>32011.760000000006</v>
      </c>
      <c r="H2467" s="132"/>
    </row>
    <row r="2468" spans="1:8" s="739" customFormat="1" ht="15.75" outlineLevel="2">
      <c r="A2468" s="740"/>
      <c r="B2468" s="740"/>
      <c r="C2468" s="736">
        <v>2211310</v>
      </c>
      <c r="D2468" s="735" t="s">
        <v>723</v>
      </c>
      <c r="E2468" s="737">
        <v>50000</v>
      </c>
      <c r="F2468" s="738">
        <f t="shared" ref="F2468:G2468" si="1841">E2468*1.1</f>
        <v>55000.000000000007</v>
      </c>
      <c r="G2468" s="738">
        <f t="shared" si="1841"/>
        <v>60500.000000000015</v>
      </c>
      <c r="H2468" s="132"/>
    </row>
    <row r="2469" spans="1:8" s="290" customFormat="1" ht="30" outlineLevel="2">
      <c r="A2469" s="579"/>
      <c r="B2469" s="579"/>
      <c r="C2469" s="512">
        <v>2211320</v>
      </c>
      <c r="D2469" s="557" t="s">
        <v>724</v>
      </c>
      <c r="E2469" s="581">
        <v>3496714</v>
      </c>
      <c r="F2469" s="540">
        <f t="shared" ref="F2469:G2469" si="1842">E2469*1.1</f>
        <v>3846385.4000000004</v>
      </c>
      <c r="G2469" s="540">
        <f t="shared" si="1842"/>
        <v>4231023.9400000004</v>
      </c>
      <c r="H2469" s="132"/>
    </row>
    <row r="2470" spans="1:8" s="290" customFormat="1" ht="15.75" outlineLevel="2">
      <c r="A2470" s="579"/>
      <c r="B2470" s="579"/>
      <c r="C2470" s="539">
        <v>2220100</v>
      </c>
      <c r="D2470" s="579" t="s">
        <v>725</v>
      </c>
      <c r="E2470" s="580">
        <f>E2471+E2472</f>
        <v>294386</v>
      </c>
      <c r="F2470" s="540">
        <f t="shared" ref="F2470:G2470" si="1843">E2470*1.1</f>
        <v>323824.60000000003</v>
      </c>
      <c r="G2470" s="540">
        <f t="shared" si="1843"/>
        <v>356207.06000000006</v>
      </c>
      <c r="H2470" s="132"/>
    </row>
    <row r="2471" spans="1:8" s="290" customFormat="1" ht="15.75" outlineLevel="2">
      <c r="A2471" s="557"/>
      <c r="B2471" s="557"/>
      <c r="C2471" s="512">
        <v>2220101</v>
      </c>
      <c r="D2471" s="557" t="s">
        <v>92</v>
      </c>
      <c r="E2471" s="584">
        <v>239416</v>
      </c>
      <c r="F2471" s="540">
        <f t="shared" ref="F2471:G2471" si="1844">E2471*1.1</f>
        <v>263357.60000000003</v>
      </c>
      <c r="G2471" s="540">
        <f t="shared" si="1844"/>
        <v>289693.36000000004</v>
      </c>
      <c r="H2471" s="132"/>
    </row>
    <row r="2472" spans="1:8" s="739" customFormat="1" ht="15.75" outlineLevel="2">
      <c r="A2472" s="735"/>
      <c r="B2472" s="735"/>
      <c r="C2472" s="736">
        <v>2220202</v>
      </c>
      <c r="D2472" s="735" t="s">
        <v>726</v>
      </c>
      <c r="E2472" s="741">
        <v>54970</v>
      </c>
      <c r="F2472" s="738">
        <f t="shared" ref="F2472:G2472" si="1845">E2472*1.1</f>
        <v>60467.000000000007</v>
      </c>
      <c r="G2472" s="738">
        <f t="shared" si="1845"/>
        <v>66513.700000000012</v>
      </c>
      <c r="H2472" s="132"/>
    </row>
    <row r="2473" spans="1:8" s="290" customFormat="1" ht="15.75" outlineLevel="2">
      <c r="A2473" s="557"/>
      <c r="B2473" s="557"/>
      <c r="C2473" s="539">
        <v>3111000</v>
      </c>
      <c r="D2473" s="579" t="s">
        <v>65</v>
      </c>
      <c r="E2473" s="580">
        <f>E2474</f>
        <v>880000</v>
      </c>
      <c r="F2473" s="540">
        <f t="shared" ref="F2473:G2473" si="1846">E2473*1.1</f>
        <v>968000.00000000012</v>
      </c>
      <c r="G2473" s="540">
        <f t="shared" si="1846"/>
        <v>1064800.0000000002</v>
      </c>
      <c r="H2473" s="132"/>
    </row>
    <row r="2474" spans="1:8" s="290" customFormat="1" ht="15.75" outlineLevel="2">
      <c r="A2474" s="557"/>
      <c r="B2474" s="557"/>
      <c r="C2474" s="512">
        <v>3111002</v>
      </c>
      <c r="D2474" s="557" t="s">
        <v>67</v>
      </c>
      <c r="E2474" s="581">
        <v>880000</v>
      </c>
      <c r="F2474" s="540">
        <f t="shared" ref="F2474:G2474" si="1847">E2474*1.1</f>
        <v>968000.00000000012</v>
      </c>
      <c r="G2474" s="540">
        <f t="shared" si="1847"/>
        <v>1064800.0000000002</v>
      </c>
      <c r="H2474" s="132"/>
    </row>
    <row r="2475" spans="1:8" s="290" customFormat="1" ht="15.75" outlineLevel="1">
      <c r="A2475" s="579"/>
      <c r="B2475" s="579"/>
      <c r="C2475" s="539"/>
      <c r="D2475" s="579" t="s">
        <v>727</v>
      </c>
      <c r="E2475" s="580">
        <f>E2473+E2470+E2466+E2464+E2462+E2459+E2451+E2447+E2445+E2457</f>
        <v>25076361</v>
      </c>
      <c r="F2475" s="540">
        <f t="shared" ref="F2475:G2475" si="1848">E2475*1.1</f>
        <v>27583997.100000001</v>
      </c>
      <c r="G2475" s="540">
        <f t="shared" si="1848"/>
        <v>30342396.810000002</v>
      </c>
      <c r="H2475" s="132"/>
    </row>
    <row r="2476" spans="1:8" s="290" customFormat="1">
      <c r="A2476" s="557"/>
      <c r="B2476" s="557"/>
      <c r="C2476" s="438"/>
      <c r="D2476" s="490" t="s">
        <v>101</v>
      </c>
      <c r="E2476" s="594">
        <f>E2285+E2324+E2379+E2441+E2475</f>
        <v>243765901</v>
      </c>
      <c r="F2476" s="594">
        <f t="shared" ref="F2476:G2476" si="1849">F2285+F2324+F2379+F2441+F2475</f>
        <v>268142491.10000002</v>
      </c>
      <c r="G2476" s="594">
        <f t="shared" si="1849"/>
        <v>294956740.21000004</v>
      </c>
      <c r="H2476" s="132"/>
    </row>
    <row r="2477" spans="1:8" s="290" customFormat="1">
      <c r="A2477" s="557"/>
      <c r="B2477" s="557"/>
      <c r="C2477" s="438"/>
      <c r="D2477" s="490" t="s">
        <v>201</v>
      </c>
      <c r="E2477" s="594">
        <f>E2398+E2338</f>
        <v>192354210</v>
      </c>
      <c r="F2477" s="594">
        <f t="shared" ref="F2477:G2477" si="1850">F2398+F2338</f>
        <v>211589631</v>
      </c>
      <c r="G2477" s="594">
        <f t="shared" si="1850"/>
        <v>232748594.10000002</v>
      </c>
      <c r="H2477" s="132"/>
    </row>
    <row r="2478" spans="1:8" s="290" customFormat="1">
      <c r="A2478" s="557"/>
      <c r="B2478" s="557"/>
      <c r="C2478" s="811" t="s">
        <v>728</v>
      </c>
      <c r="D2478" s="811"/>
      <c r="E2478" s="594">
        <f t="shared" ref="E2478" si="1851">E2477+E2476</f>
        <v>436120111</v>
      </c>
      <c r="F2478" s="594">
        <f t="shared" ref="F2478:G2478" si="1852">F2477+F2476</f>
        <v>479732122.10000002</v>
      </c>
      <c r="G2478" s="594">
        <f t="shared" si="1852"/>
        <v>527705334.31000006</v>
      </c>
      <c r="H2478" s="132"/>
    </row>
    <row r="2479" spans="1:8" s="289" customFormat="1" ht="15.75">
      <c r="A2479" s="311"/>
      <c r="B2479" s="311"/>
      <c r="C2479" s="312"/>
      <c r="D2479" s="313"/>
      <c r="E2479" s="314"/>
      <c r="F2479" s="540"/>
      <c r="G2479" s="540"/>
      <c r="H2479" s="132"/>
    </row>
    <row r="2480" spans="1:8" s="289" customFormat="1" ht="15.75">
      <c r="A2480" s="311"/>
      <c r="B2480" s="311"/>
      <c r="C2480" s="312"/>
      <c r="D2480" s="313"/>
      <c r="E2480" s="314"/>
      <c r="F2480" s="742"/>
      <c r="G2480" s="540"/>
      <c r="H2480" s="132"/>
    </row>
    <row r="2481" spans="1:8" s="289" customFormat="1" ht="15.75">
      <c r="A2481" s="311"/>
      <c r="B2481" s="311"/>
      <c r="C2481" s="312"/>
      <c r="D2481" s="313"/>
      <c r="E2481" s="314"/>
      <c r="F2481" s="540"/>
      <c r="G2481" s="540"/>
      <c r="H2481" s="132"/>
    </row>
    <row r="2482" spans="1:8" s="289" customFormat="1" ht="15.75">
      <c r="A2482" s="382"/>
      <c r="B2482" s="382"/>
      <c r="C2482" s="375" t="s">
        <v>729</v>
      </c>
      <c r="D2482" s="375"/>
      <c r="E2482" s="432"/>
      <c r="F2482" s="540"/>
      <c r="G2482" s="540"/>
      <c r="H2482" s="132"/>
    </row>
    <row r="2483" spans="1:8" s="289" customFormat="1" ht="15.75" outlineLevel="1">
      <c r="A2483" s="595"/>
      <c r="B2483" s="595" t="s">
        <v>9</v>
      </c>
      <c r="C2483" s="438" t="s">
        <v>730</v>
      </c>
      <c r="D2483" s="487"/>
      <c r="E2483" s="319"/>
      <c r="F2483" s="540">
        <f t="shared" ref="F2483:G2483" si="1853">E2483*1.1</f>
        <v>0</v>
      </c>
      <c r="G2483" s="540">
        <f t="shared" si="1853"/>
        <v>0</v>
      </c>
      <c r="H2483" s="132"/>
    </row>
    <row r="2484" spans="1:8" s="289" customFormat="1" ht="15.75" outlineLevel="1">
      <c r="A2484" s="596" t="s">
        <v>204</v>
      </c>
      <c r="B2484" s="324"/>
      <c r="C2484" s="443" t="s">
        <v>205</v>
      </c>
      <c r="D2484" s="492"/>
      <c r="E2484" s="319"/>
      <c r="F2484" s="540">
        <f t="shared" ref="F2484:G2484" si="1854">E2484*1.1</f>
        <v>0</v>
      </c>
      <c r="G2484" s="540">
        <f t="shared" si="1854"/>
        <v>0</v>
      </c>
      <c r="H2484" s="132"/>
    </row>
    <row r="2485" spans="1:8" s="289" customFormat="1" ht="15.75" outlineLevel="1">
      <c r="A2485" s="596"/>
      <c r="B2485" s="596" t="s">
        <v>98</v>
      </c>
      <c r="C2485" s="443" t="s">
        <v>206</v>
      </c>
      <c r="D2485" s="492"/>
      <c r="E2485" s="319"/>
      <c r="F2485" s="540">
        <f t="shared" ref="F2485:G2485" si="1855">E2485*1.1</f>
        <v>0</v>
      </c>
      <c r="G2485" s="540">
        <f t="shared" si="1855"/>
        <v>0</v>
      </c>
      <c r="H2485" s="132"/>
    </row>
    <row r="2486" spans="1:8" s="300" customFormat="1" ht="15.75" outlineLevel="2">
      <c r="A2486" s="596"/>
      <c r="B2486" s="596"/>
      <c r="C2486" s="444">
        <v>2110100</v>
      </c>
      <c r="D2486" s="445" t="s">
        <v>13</v>
      </c>
      <c r="E2486" s="597">
        <f>E2487+E2488</f>
        <v>26362738</v>
      </c>
      <c r="F2486" s="540">
        <f t="shared" ref="F2486:G2486" si="1856">E2486*1.1</f>
        <v>28999011.800000001</v>
      </c>
      <c r="G2486" s="540">
        <f t="shared" si="1856"/>
        <v>31898912.980000004</v>
      </c>
      <c r="H2486" s="132"/>
    </row>
    <row r="2487" spans="1:8" s="289" customFormat="1" ht="15.75" outlineLevel="2">
      <c r="A2487" s="596"/>
      <c r="B2487" s="598"/>
      <c r="C2487" s="448">
        <v>2110101</v>
      </c>
      <c r="D2487" s="449" t="s">
        <v>14</v>
      </c>
      <c r="E2487" s="319">
        <v>26258738</v>
      </c>
      <c r="F2487" s="540">
        <f t="shared" ref="F2487:G2487" si="1857">E2487*1.1</f>
        <v>28884611.800000001</v>
      </c>
      <c r="G2487" s="540">
        <f t="shared" si="1857"/>
        <v>31773072.980000004</v>
      </c>
      <c r="H2487" s="132"/>
    </row>
    <row r="2488" spans="1:8" s="289" customFormat="1" ht="15.75" outlineLevel="2">
      <c r="A2488" s="596"/>
      <c r="B2488" s="598"/>
      <c r="C2488" s="448">
        <v>2110120</v>
      </c>
      <c r="D2488" s="449" t="s">
        <v>731</v>
      </c>
      <c r="E2488" s="319">
        <v>104000</v>
      </c>
      <c r="F2488" s="540">
        <f t="shared" ref="F2488:G2488" si="1858">E2488*1.1</f>
        <v>114400.00000000001</v>
      </c>
      <c r="G2488" s="540">
        <f t="shared" si="1858"/>
        <v>125840.00000000003</v>
      </c>
      <c r="H2488" s="132"/>
    </row>
    <row r="2489" spans="1:8" s="300" customFormat="1" ht="15.75" outlineLevel="2">
      <c r="A2489" s="596"/>
      <c r="B2489" s="596"/>
      <c r="C2489" s="444">
        <v>2210100</v>
      </c>
      <c r="D2489" s="445" t="s">
        <v>16</v>
      </c>
      <c r="E2489" s="597">
        <f>E2490+E2491</f>
        <v>124389</v>
      </c>
      <c r="F2489" s="540">
        <f t="shared" ref="F2489:G2489" si="1859">E2489*1.1</f>
        <v>136827.90000000002</v>
      </c>
      <c r="G2489" s="540">
        <f t="shared" si="1859"/>
        <v>150510.69000000003</v>
      </c>
      <c r="H2489" s="132"/>
    </row>
    <row r="2490" spans="1:8" s="289" customFormat="1" ht="15.75" outlineLevel="2">
      <c r="A2490" s="598"/>
      <c r="B2490" s="598"/>
      <c r="C2490" s="448">
        <v>2210101</v>
      </c>
      <c r="D2490" s="449" t="s">
        <v>17</v>
      </c>
      <c r="E2490" s="319">
        <v>82691</v>
      </c>
      <c r="F2490" s="540">
        <f t="shared" ref="F2490:G2490" si="1860">E2490*1.1</f>
        <v>90960.1</v>
      </c>
      <c r="G2490" s="540">
        <f t="shared" si="1860"/>
        <v>100056.11000000002</v>
      </c>
      <c r="H2490" s="132"/>
    </row>
    <row r="2491" spans="1:8" s="289" customFormat="1" ht="15.75" outlineLevel="2">
      <c r="A2491" s="598"/>
      <c r="B2491" s="598"/>
      <c r="C2491" s="448">
        <v>2210102</v>
      </c>
      <c r="D2491" s="449" t="s">
        <v>18</v>
      </c>
      <c r="E2491" s="319">
        <v>41698</v>
      </c>
      <c r="F2491" s="540">
        <f t="shared" ref="F2491:G2491" si="1861">E2491*1.1</f>
        <v>45867.8</v>
      </c>
      <c r="G2491" s="540">
        <f t="shared" si="1861"/>
        <v>50454.580000000009</v>
      </c>
      <c r="H2491" s="132"/>
    </row>
    <row r="2492" spans="1:8" s="300" customFormat="1" ht="15.75" outlineLevel="2">
      <c r="A2492" s="596"/>
      <c r="B2492" s="596"/>
      <c r="C2492" s="444">
        <v>2210200</v>
      </c>
      <c r="D2492" s="445" t="s">
        <v>19</v>
      </c>
      <c r="E2492" s="597">
        <f>E2493</f>
        <v>356000</v>
      </c>
      <c r="F2492" s="540">
        <f t="shared" ref="F2492:G2492" si="1862">E2492*1.1</f>
        <v>391600.00000000006</v>
      </c>
      <c r="G2492" s="540">
        <f t="shared" si="1862"/>
        <v>430760.00000000012</v>
      </c>
      <c r="H2492" s="132"/>
    </row>
    <row r="2493" spans="1:8" s="289" customFormat="1" ht="15.75" outlineLevel="2">
      <c r="A2493" s="598"/>
      <c r="B2493" s="598"/>
      <c r="C2493" s="448">
        <v>2210201</v>
      </c>
      <c r="D2493" s="449" t="s">
        <v>236</v>
      </c>
      <c r="E2493" s="319">
        <v>356000</v>
      </c>
      <c r="F2493" s="540">
        <f t="shared" ref="F2493:G2493" si="1863">E2493*1.1</f>
        <v>391600.00000000006</v>
      </c>
      <c r="G2493" s="540">
        <f t="shared" si="1863"/>
        <v>430760.00000000012</v>
      </c>
      <c r="H2493" s="132"/>
    </row>
    <row r="2494" spans="1:8" s="289" customFormat="1" ht="30" outlineLevel="2">
      <c r="A2494" s="596"/>
      <c r="B2494" s="596"/>
      <c r="C2494" s="444">
        <v>2210300</v>
      </c>
      <c r="D2494" s="445" t="s">
        <v>23</v>
      </c>
      <c r="E2494" s="597">
        <f>E2495+E2496+E2497+E2498</f>
        <v>2473452</v>
      </c>
      <c r="F2494" s="540">
        <f t="shared" ref="F2494:G2494" si="1864">E2494*1.1</f>
        <v>2720797.2</v>
      </c>
      <c r="G2494" s="540">
        <f t="shared" si="1864"/>
        <v>2992876.9200000004</v>
      </c>
      <c r="H2494" s="132"/>
    </row>
    <row r="2495" spans="1:8" s="300" customFormat="1" ht="15.75" outlineLevel="2">
      <c r="A2495" s="598"/>
      <c r="B2495" s="598"/>
      <c r="C2495" s="448">
        <v>2210301</v>
      </c>
      <c r="D2495" s="449" t="s">
        <v>208</v>
      </c>
      <c r="E2495" s="319">
        <v>628252</v>
      </c>
      <c r="F2495" s="540">
        <f t="shared" ref="F2495:G2495" si="1865">E2495*1.1</f>
        <v>691077.20000000007</v>
      </c>
      <c r="G2495" s="540">
        <f t="shared" si="1865"/>
        <v>760184.92000000016</v>
      </c>
      <c r="H2495" s="132"/>
    </row>
    <row r="2496" spans="1:8" s="289" customFormat="1" ht="15.75" outlineLevel="2">
      <c r="A2496" s="598"/>
      <c r="B2496" s="598"/>
      <c r="C2496" s="448">
        <v>2210302</v>
      </c>
      <c r="D2496" s="449" t="s">
        <v>25</v>
      </c>
      <c r="E2496" s="319">
        <v>856900</v>
      </c>
      <c r="F2496" s="540">
        <f t="shared" ref="F2496:G2496" si="1866">E2496*1.1</f>
        <v>942590.00000000012</v>
      </c>
      <c r="G2496" s="540">
        <f t="shared" si="1866"/>
        <v>1036849.0000000002</v>
      </c>
      <c r="H2496" s="132"/>
    </row>
    <row r="2497" spans="1:8" s="289" customFormat="1" ht="15.75" outlineLevel="2">
      <c r="A2497" s="598"/>
      <c r="B2497" s="598"/>
      <c r="C2497" s="448">
        <v>2210303</v>
      </c>
      <c r="D2497" s="449" t="s">
        <v>26</v>
      </c>
      <c r="E2497" s="319">
        <v>778300</v>
      </c>
      <c r="F2497" s="540">
        <f t="shared" ref="F2497:G2497" si="1867">E2497*1.1</f>
        <v>856130.00000000012</v>
      </c>
      <c r="G2497" s="540">
        <f t="shared" si="1867"/>
        <v>941743.00000000023</v>
      </c>
      <c r="H2497" s="132"/>
    </row>
    <row r="2498" spans="1:8" s="289" customFormat="1" ht="15.75" outlineLevel="2">
      <c r="A2498" s="598"/>
      <c r="B2498" s="598"/>
      <c r="C2498" s="448">
        <v>2210304</v>
      </c>
      <c r="D2498" s="449" t="s">
        <v>27</v>
      </c>
      <c r="E2498" s="319">
        <v>210000</v>
      </c>
      <c r="F2498" s="540">
        <f t="shared" ref="F2498:G2498" si="1868">E2498*1.1</f>
        <v>231000.00000000003</v>
      </c>
      <c r="G2498" s="540">
        <f t="shared" si="1868"/>
        <v>254100.00000000006</v>
      </c>
      <c r="H2498" s="132"/>
    </row>
    <row r="2499" spans="1:8" s="289" customFormat="1" ht="30" outlineLevel="2">
      <c r="A2499" s="596"/>
      <c r="B2499" s="596"/>
      <c r="C2499" s="444">
        <v>2210400</v>
      </c>
      <c r="D2499" s="445" t="s">
        <v>209</v>
      </c>
      <c r="E2499" s="597">
        <f>E2500+E2501+E2502</f>
        <v>696000</v>
      </c>
      <c r="F2499" s="540">
        <f t="shared" ref="F2499:G2499" si="1869">E2499*1.1</f>
        <v>765600.00000000012</v>
      </c>
      <c r="G2499" s="540">
        <f t="shared" si="1869"/>
        <v>842160.00000000023</v>
      </c>
      <c r="H2499" s="132"/>
    </row>
    <row r="2500" spans="1:8" s="300" customFormat="1" ht="15.75" outlineLevel="2">
      <c r="A2500" s="598"/>
      <c r="B2500" s="598"/>
      <c r="C2500" s="448">
        <v>2210401</v>
      </c>
      <c r="D2500" s="449" t="s">
        <v>210</v>
      </c>
      <c r="E2500" s="319">
        <v>174000</v>
      </c>
      <c r="F2500" s="540">
        <f t="shared" ref="F2500:G2500" si="1870">E2500*1.1</f>
        <v>191400.00000000003</v>
      </c>
      <c r="G2500" s="540">
        <f t="shared" si="1870"/>
        <v>210540.00000000006</v>
      </c>
      <c r="H2500" s="132"/>
    </row>
    <row r="2501" spans="1:8" s="289" customFormat="1" ht="15.75" outlineLevel="2">
      <c r="A2501" s="598"/>
      <c r="B2501" s="598"/>
      <c r="C2501" s="448">
        <v>2210402</v>
      </c>
      <c r="D2501" s="449" t="s">
        <v>211</v>
      </c>
      <c r="E2501" s="319">
        <v>364000</v>
      </c>
      <c r="F2501" s="540">
        <f t="shared" ref="F2501:G2501" si="1871">E2501*1.1</f>
        <v>400400.00000000006</v>
      </c>
      <c r="G2501" s="540">
        <f t="shared" si="1871"/>
        <v>440440.00000000012</v>
      </c>
      <c r="H2501" s="132"/>
    </row>
    <row r="2502" spans="1:8" s="289" customFormat="1" ht="15.75" outlineLevel="2">
      <c r="A2502" s="598"/>
      <c r="B2502" s="598"/>
      <c r="C2502" s="437">
        <v>2210404</v>
      </c>
      <c r="D2502" s="449" t="s">
        <v>27</v>
      </c>
      <c r="E2502" s="319">
        <v>158000</v>
      </c>
      <c r="F2502" s="540">
        <f t="shared" ref="F2502:G2502" si="1872">E2502*1.1</f>
        <v>173800</v>
      </c>
      <c r="G2502" s="540">
        <f t="shared" si="1872"/>
        <v>191180.00000000003</v>
      </c>
      <c r="H2502" s="132"/>
    </row>
    <row r="2503" spans="1:8" s="300" customFormat="1" ht="15.75" outlineLevel="2">
      <c r="A2503" s="596"/>
      <c r="B2503" s="596"/>
      <c r="C2503" s="444">
        <v>2210500</v>
      </c>
      <c r="D2503" s="445" t="s">
        <v>30</v>
      </c>
      <c r="E2503" s="597">
        <f>E2504+E2505+E2506+E2507</f>
        <v>965331</v>
      </c>
      <c r="F2503" s="540">
        <f t="shared" ref="F2503:G2503" si="1873">E2503*1.1</f>
        <v>1061864.1000000001</v>
      </c>
      <c r="G2503" s="540">
        <f t="shared" si="1873"/>
        <v>1168050.5100000002</v>
      </c>
      <c r="H2503" s="132"/>
    </row>
    <row r="2504" spans="1:8" s="289" customFormat="1" ht="15.75" outlineLevel="2">
      <c r="A2504" s="598"/>
      <c r="B2504" s="598"/>
      <c r="C2504" s="448">
        <v>2210502</v>
      </c>
      <c r="D2504" s="449" t="s">
        <v>162</v>
      </c>
      <c r="E2504" s="319">
        <v>259437</v>
      </c>
      <c r="F2504" s="540">
        <f t="shared" ref="F2504:G2504" si="1874">E2504*1.1</f>
        <v>285380.7</v>
      </c>
      <c r="G2504" s="540">
        <f t="shared" si="1874"/>
        <v>313918.77</v>
      </c>
      <c r="H2504" s="132"/>
    </row>
    <row r="2505" spans="1:8" s="289" customFormat="1" ht="15.75" outlineLevel="2">
      <c r="A2505" s="598"/>
      <c r="B2505" s="598"/>
      <c r="C2505" s="448">
        <v>2210503</v>
      </c>
      <c r="D2505" s="449" t="s">
        <v>31</v>
      </c>
      <c r="E2505" s="319">
        <v>107000</v>
      </c>
      <c r="F2505" s="540">
        <f t="shared" ref="F2505:G2505" si="1875">E2505*1.1</f>
        <v>117700.00000000001</v>
      </c>
      <c r="G2505" s="540">
        <f t="shared" si="1875"/>
        <v>129470.00000000003</v>
      </c>
      <c r="H2505" s="132"/>
    </row>
    <row r="2506" spans="1:8" s="289" customFormat="1" ht="15.75" outlineLevel="2">
      <c r="A2506" s="598"/>
      <c r="B2506" s="598"/>
      <c r="C2506" s="448">
        <v>2210504</v>
      </c>
      <c r="D2506" s="449" t="s">
        <v>212</v>
      </c>
      <c r="E2506" s="319">
        <v>140186</v>
      </c>
      <c r="F2506" s="540">
        <f t="shared" ref="F2506:G2506" si="1876">E2506*1.1</f>
        <v>154204.6</v>
      </c>
      <c r="G2506" s="540">
        <f t="shared" si="1876"/>
        <v>169625.06000000003</v>
      </c>
      <c r="H2506" s="132"/>
    </row>
    <row r="2507" spans="1:8" s="289" customFormat="1" ht="15.75" outlineLevel="2">
      <c r="A2507" s="598"/>
      <c r="B2507" s="598"/>
      <c r="C2507" s="448">
        <v>2210505</v>
      </c>
      <c r="D2507" s="449" t="s">
        <v>213</v>
      </c>
      <c r="E2507" s="319">
        <v>458708</v>
      </c>
      <c r="F2507" s="540">
        <f t="shared" ref="F2507:G2507" si="1877">E2507*1.1</f>
        <v>504578.80000000005</v>
      </c>
      <c r="G2507" s="540">
        <f t="shared" si="1877"/>
        <v>555036.68000000005</v>
      </c>
      <c r="H2507" s="132"/>
    </row>
    <row r="2508" spans="1:8" s="300" customFormat="1" ht="15.75" outlineLevel="2">
      <c r="A2508" s="596"/>
      <c r="B2508" s="596"/>
      <c r="C2508" s="444">
        <v>2210600</v>
      </c>
      <c r="D2508" s="445" t="s">
        <v>163</v>
      </c>
      <c r="E2508" s="597">
        <f>E2509</f>
        <v>231888</v>
      </c>
      <c r="F2508" s="540">
        <f t="shared" ref="F2508:G2508" si="1878">E2508*1.1</f>
        <v>255076.80000000002</v>
      </c>
      <c r="G2508" s="540">
        <f t="shared" si="1878"/>
        <v>280584.48000000004</v>
      </c>
      <c r="H2508" s="132"/>
    </row>
    <row r="2509" spans="1:8" s="289" customFormat="1" ht="15.75" outlineLevel="2">
      <c r="A2509" s="598"/>
      <c r="B2509" s="598"/>
      <c r="C2509" s="448">
        <v>2210606</v>
      </c>
      <c r="D2509" s="449" t="s">
        <v>732</v>
      </c>
      <c r="E2509" s="319">
        <v>231888</v>
      </c>
      <c r="F2509" s="540">
        <f t="shared" ref="F2509:G2509" si="1879">E2509*1.1</f>
        <v>255076.80000000002</v>
      </c>
      <c r="G2509" s="540">
        <f t="shared" si="1879"/>
        <v>280584.48000000004</v>
      </c>
      <c r="H2509" s="132"/>
    </row>
    <row r="2510" spans="1:8" s="300" customFormat="1" ht="15.75" outlineLevel="2">
      <c r="A2510" s="596"/>
      <c r="B2510" s="596"/>
      <c r="C2510" s="444">
        <v>2210700</v>
      </c>
      <c r="D2510" s="445" t="s">
        <v>214</v>
      </c>
      <c r="E2510" s="597">
        <f>E2511+E2512+E2513+E2514</f>
        <v>1568720</v>
      </c>
      <c r="F2510" s="540">
        <f t="shared" ref="F2510:G2510" si="1880">E2510*1.1</f>
        <v>1725592.0000000002</v>
      </c>
      <c r="G2510" s="540">
        <f t="shared" si="1880"/>
        <v>1898151.2000000004</v>
      </c>
      <c r="H2510" s="132"/>
    </row>
    <row r="2511" spans="1:8" s="289" customFormat="1" ht="15.75" outlineLevel="2">
      <c r="A2511" s="598"/>
      <c r="B2511" s="598"/>
      <c r="C2511" s="448">
        <v>2210701</v>
      </c>
      <c r="D2511" s="449" t="s">
        <v>35</v>
      </c>
      <c r="E2511" s="319">
        <v>492048</v>
      </c>
      <c r="F2511" s="540">
        <f t="shared" ref="F2511:G2511" si="1881">E2511*1.1</f>
        <v>541252.80000000005</v>
      </c>
      <c r="G2511" s="540">
        <f t="shared" si="1881"/>
        <v>595378.08000000007</v>
      </c>
      <c r="H2511" s="132"/>
    </row>
    <row r="2512" spans="1:8" s="289" customFormat="1" ht="15.75" outlineLevel="2">
      <c r="A2512" s="598"/>
      <c r="B2512" s="598"/>
      <c r="C2512" s="448">
        <v>2210710</v>
      </c>
      <c r="D2512" s="449" t="s">
        <v>38</v>
      </c>
      <c r="E2512" s="319">
        <v>446472</v>
      </c>
      <c r="F2512" s="540">
        <f t="shared" ref="F2512:G2512" si="1882">E2512*1.1</f>
        <v>491119.2</v>
      </c>
      <c r="G2512" s="540">
        <f t="shared" si="1882"/>
        <v>540231.12000000011</v>
      </c>
      <c r="H2512" s="132"/>
    </row>
    <row r="2513" spans="1:8" s="289" customFormat="1" ht="15.75" outlineLevel="2">
      <c r="A2513" s="598"/>
      <c r="B2513" s="598"/>
      <c r="C2513" s="437">
        <v>2210711</v>
      </c>
      <c r="D2513" s="494" t="s">
        <v>332</v>
      </c>
      <c r="E2513" s="319">
        <v>270200</v>
      </c>
      <c r="F2513" s="540">
        <f t="shared" ref="F2513:G2513" si="1883">E2513*1.1</f>
        <v>297220</v>
      </c>
      <c r="G2513" s="540">
        <f t="shared" si="1883"/>
        <v>326942</v>
      </c>
      <c r="H2513" s="132"/>
    </row>
    <row r="2514" spans="1:8" s="289" customFormat="1" ht="15.75" outlineLevel="2">
      <c r="A2514" s="598"/>
      <c r="B2514" s="598"/>
      <c r="C2514" s="437">
        <v>2210715</v>
      </c>
      <c r="D2514" s="494" t="s">
        <v>39</v>
      </c>
      <c r="E2514" s="319">
        <v>360000</v>
      </c>
      <c r="F2514" s="540">
        <f t="shared" ref="F2514:G2514" si="1884">E2514*1.1</f>
        <v>396000.00000000006</v>
      </c>
      <c r="G2514" s="540">
        <f t="shared" si="1884"/>
        <v>435600.00000000012</v>
      </c>
      <c r="H2514" s="132"/>
    </row>
    <row r="2515" spans="1:8" s="300" customFormat="1" ht="15.75" outlineLevel="2">
      <c r="A2515" s="596"/>
      <c r="B2515" s="596"/>
      <c r="C2515" s="444">
        <v>2210800</v>
      </c>
      <c r="D2515" s="445" t="s">
        <v>41</v>
      </c>
      <c r="E2515" s="597">
        <f>E2516+E2517</f>
        <v>1380841</v>
      </c>
      <c r="F2515" s="540">
        <f t="shared" ref="F2515:G2515" si="1885">E2515*1.1</f>
        <v>1518925.1</v>
      </c>
      <c r="G2515" s="540">
        <f t="shared" si="1885"/>
        <v>1670817.6100000003</v>
      </c>
      <c r="H2515" s="132"/>
    </row>
    <row r="2516" spans="1:8" s="289" customFormat="1" ht="30" outlineLevel="2">
      <c r="A2516" s="598"/>
      <c r="B2516" s="598"/>
      <c r="C2516" s="448">
        <v>2210801</v>
      </c>
      <c r="D2516" s="449" t="s">
        <v>112</v>
      </c>
      <c r="E2516" s="319">
        <v>919841</v>
      </c>
      <c r="F2516" s="540">
        <f t="shared" ref="F2516:G2516" si="1886">E2516*1.1</f>
        <v>1011825.1000000001</v>
      </c>
      <c r="G2516" s="540">
        <f t="shared" si="1886"/>
        <v>1113007.6100000001</v>
      </c>
      <c r="H2516" s="132"/>
    </row>
    <row r="2517" spans="1:8" s="289" customFormat="1" ht="15.75" outlineLevel="2">
      <c r="A2517" s="598"/>
      <c r="B2517" s="598"/>
      <c r="C2517" s="448">
        <v>2210802</v>
      </c>
      <c r="D2517" s="449" t="s">
        <v>86</v>
      </c>
      <c r="E2517" s="491">
        <v>461000</v>
      </c>
      <c r="F2517" s="540">
        <f t="shared" ref="F2517:G2517" si="1887">E2517*1.1</f>
        <v>507100.00000000006</v>
      </c>
      <c r="G2517" s="540">
        <f t="shared" si="1887"/>
        <v>557810.00000000012</v>
      </c>
      <c r="H2517" s="132"/>
    </row>
    <row r="2518" spans="1:8" s="300" customFormat="1" ht="15.75" outlineLevel="2">
      <c r="A2518" s="596"/>
      <c r="B2518" s="596"/>
      <c r="C2518" s="444">
        <v>2211000</v>
      </c>
      <c r="D2518" s="445" t="s">
        <v>173</v>
      </c>
      <c r="E2518" s="597">
        <f>E2519</f>
        <v>352737</v>
      </c>
      <c r="F2518" s="540">
        <f t="shared" ref="F2518:G2518" si="1888">E2518*1.1</f>
        <v>388010.7</v>
      </c>
      <c r="G2518" s="540">
        <f t="shared" si="1888"/>
        <v>426811.77</v>
      </c>
      <c r="H2518" s="132"/>
    </row>
    <row r="2519" spans="1:8" s="289" customFormat="1" ht="15.75" outlineLevel="2">
      <c r="A2519" s="598"/>
      <c r="B2519" s="598"/>
      <c r="C2519" s="448">
        <v>2211016</v>
      </c>
      <c r="D2519" s="449" t="s">
        <v>219</v>
      </c>
      <c r="E2519" s="319">
        <v>352737</v>
      </c>
      <c r="F2519" s="540">
        <f t="shared" ref="F2519:G2519" si="1889">E2519*1.1</f>
        <v>388010.7</v>
      </c>
      <c r="G2519" s="540">
        <f t="shared" si="1889"/>
        <v>426811.77</v>
      </c>
      <c r="H2519" s="132"/>
    </row>
    <row r="2520" spans="1:8" s="300" customFormat="1" ht="15.75" outlineLevel="2">
      <c r="A2520" s="596"/>
      <c r="B2520" s="596"/>
      <c r="C2520" s="444">
        <v>2211100</v>
      </c>
      <c r="D2520" s="445" t="s">
        <v>49</v>
      </c>
      <c r="E2520" s="597">
        <f>E2521+E2522+E2523+E2524</f>
        <v>1084555</v>
      </c>
      <c r="F2520" s="540">
        <f t="shared" ref="F2520:G2520" si="1890">E2520*1.1</f>
        <v>1193010.5</v>
      </c>
      <c r="G2520" s="540">
        <f t="shared" si="1890"/>
        <v>1312311.55</v>
      </c>
      <c r="H2520" s="132"/>
    </row>
    <row r="2521" spans="1:8" s="289" customFormat="1" ht="30" outlineLevel="2">
      <c r="A2521" s="598"/>
      <c r="B2521" s="598"/>
      <c r="C2521" s="448">
        <v>2211101</v>
      </c>
      <c r="D2521" s="494" t="s">
        <v>220</v>
      </c>
      <c r="E2521" s="319">
        <v>464555</v>
      </c>
      <c r="F2521" s="540">
        <f t="shared" ref="F2521:G2521" si="1891">E2521*1.1</f>
        <v>511010.50000000006</v>
      </c>
      <c r="G2521" s="540">
        <f t="shared" si="1891"/>
        <v>562111.55000000016</v>
      </c>
      <c r="H2521" s="132"/>
    </row>
    <row r="2522" spans="1:8" s="289" customFormat="1" ht="15.75" outlineLevel="2">
      <c r="A2522" s="598"/>
      <c r="B2522" s="598"/>
      <c r="C2522" s="448">
        <v>2211102</v>
      </c>
      <c r="D2522" s="449" t="s">
        <v>51</v>
      </c>
      <c r="E2522" s="319">
        <v>420000</v>
      </c>
      <c r="F2522" s="540">
        <f t="shared" ref="F2522:G2522" si="1892">E2522*1.1</f>
        <v>462000.00000000006</v>
      </c>
      <c r="G2522" s="540">
        <f t="shared" si="1892"/>
        <v>508200.00000000012</v>
      </c>
      <c r="H2522" s="132"/>
    </row>
    <row r="2523" spans="1:8" s="289" customFormat="1" ht="15.75" outlineLevel="2">
      <c r="A2523" s="598"/>
      <c r="B2523" s="598"/>
      <c r="C2523" s="448">
        <v>2211103</v>
      </c>
      <c r="D2523" s="449" t="s">
        <v>52</v>
      </c>
      <c r="E2523" s="319">
        <v>35000</v>
      </c>
      <c r="F2523" s="540">
        <f t="shared" ref="F2523:G2523" si="1893">E2523*1.1</f>
        <v>38500</v>
      </c>
      <c r="G2523" s="540">
        <f t="shared" si="1893"/>
        <v>42350</v>
      </c>
      <c r="H2523" s="132"/>
    </row>
    <row r="2524" spans="1:8" s="289" customFormat="1" ht="15.75" outlineLevel="2">
      <c r="A2524" s="598"/>
      <c r="B2524" s="598"/>
      <c r="C2524" s="448">
        <v>2211199</v>
      </c>
      <c r="D2524" s="449" t="s">
        <v>733</v>
      </c>
      <c r="E2524" s="319">
        <v>165000</v>
      </c>
      <c r="F2524" s="540">
        <f t="shared" ref="F2524:G2524" si="1894">E2524*1.1</f>
        <v>181500.00000000003</v>
      </c>
      <c r="G2524" s="540">
        <f t="shared" si="1894"/>
        <v>199650.00000000006</v>
      </c>
      <c r="H2524" s="132"/>
    </row>
    <row r="2525" spans="1:8" s="300" customFormat="1" ht="15.75" outlineLevel="2">
      <c r="A2525" s="596"/>
      <c r="B2525" s="596"/>
      <c r="C2525" s="444">
        <v>2211200</v>
      </c>
      <c r="D2525" s="445" t="s">
        <v>53</v>
      </c>
      <c r="E2525" s="597">
        <f>E2526</f>
        <v>1024972</v>
      </c>
      <c r="F2525" s="540">
        <f t="shared" ref="F2525:G2525" si="1895">E2525*1.1</f>
        <v>1127469.2000000002</v>
      </c>
      <c r="G2525" s="540">
        <f t="shared" si="1895"/>
        <v>1240216.1200000003</v>
      </c>
      <c r="H2525" s="132"/>
    </row>
    <row r="2526" spans="1:8" s="289" customFormat="1" ht="15.75" outlineLevel="2">
      <c r="A2526" s="598"/>
      <c r="B2526" s="598"/>
      <c r="C2526" s="448">
        <v>2211201</v>
      </c>
      <c r="D2526" s="449" t="s">
        <v>91</v>
      </c>
      <c r="E2526" s="319">
        <v>1024972</v>
      </c>
      <c r="F2526" s="540">
        <f t="shared" ref="F2526:G2526" si="1896">E2526*1.1</f>
        <v>1127469.2000000002</v>
      </c>
      <c r="G2526" s="540">
        <f t="shared" si="1896"/>
        <v>1240216.1200000003</v>
      </c>
      <c r="H2526" s="132"/>
    </row>
    <row r="2527" spans="1:8" s="300" customFormat="1" ht="15.75" outlineLevel="2">
      <c r="A2527" s="596"/>
      <c r="B2527" s="596"/>
      <c r="C2527" s="444">
        <v>2211300</v>
      </c>
      <c r="D2527" s="445" t="s">
        <v>55</v>
      </c>
      <c r="E2527" s="597">
        <f>E2528</f>
        <v>41335</v>
      </c>
      <c r="F2527" s="540">
        <f t="shared" ref="F2527:G2527" si="1897">E2527*1.1</f>
        <v>45468.500000000007</v>
      </c>
      <c r="G2527" s="540">
        <f t="shared" si="1897"/>
        <v>50015.350000000013</v>
      </c>
      <c r="H2527" s="132"/>
    </row>
    <row r="2528" spans="1:8" s="289" customFormat="1" ht="30" outlineLevel="2">
      <c r="A2528" s="598"/>
      <c r="B2528" s="598"/>
      <c r="C2528" s="448">
        <v>2211306</v>
      </c>
      <c r="D2528" s="449" t="s">
        <v>57</v>
      </c>
      <c r="E2528" s="319">
        <v>41335</v>
      </c>
      <c r="F2528" s="540">
        <f t="shared" ref="F2528:G2528" si="1898">E2528*1.1</f>
        <v>45468.500000000007</v>
      </c>
      <c r="G2528" s="540">
        <f t="shared" si="1898"/>
        <v>50015.350000000013</v>
      </c>
      <c r="H2528" s="132"/>
    </row>
    <row r="2529" spans="1:8" s="300" customFormat="1" ht="30" outlineLevel="2">
      <c r="A2529" s="596"/>
      <c r="B2529" s="596"/>
      <c r="C2529" s="444">
        <v>2220100</v>
      </c>
      <c r="D2529" s="445" t="s">
        <v>224</v>
      </c>
      <c r="E2529" s="597">
        <f>E2530+E2531</f>
        <v>739000</v>
      </c>
      <c r="F2529" s="540">
        <f t="shared" ref="F2529:G2529" si="1899">E2529*1.1</f>
        <v>812900.00000000012</v>
      </c>
      <c r="G2529" s="540">
        <f t="shared" si="1899"/>
        <v>894190.00000000023</v>
      </c>
      <c r="H2529" s="132"/>
    </row>
    <row r="2530" spans="1:8" s="289" customFormat="1" ht="15.75" outlineLevel="2">
      <c r="A2530" s="598"/>
      <c r="B2530" s="598"/>
      <c r="C2530" s="448">
        <v>2220101</v>
      </c>
      <c r="D2530" s="449" t="s">
        <v>225</v>
      </c>
      <c r="E2530" s="319">
        <v>325000</v>
      </c>
      <c r="F2530" s="540">
        <f t="shared" ref="F2530:G2530" si="1900">E2530*1.1</f>
        <v>357500</v>
      </c>
      <c r="G2530" s="540">
        <f t="shared" si="1900"/>
        <v>393250.00000000006</v>
      </c>
      <c r="H2530" s="132"/>
    </row>
    <row r="2531" spans="1:8" s="289" customFormat="1" ht="15.75" outlineLevel="2">
      <c r="A2531" s="598"/>
      <c r="B2531" s="598"/>
      <c r="C2531" s="448">
        <v>2220105</v>
      </c>
      <c r="D2531" s="449" t="s">
        <v>64</v>
      </c>
      <c r="E2531" s="319">
        <v>414000</v>
      </c>
      <c r="F2531" s="540">
        <f t="shared" ref="F2531:G2531" si="1901">E2531*1.1</f>
        <v>455400.00000000006</v>
      </c>
      <c r="G2531" s="540">
        <f t="shared" si="1901"/>
        <v>500940.00000000012</v>
      </c>
      <c r="H2531" s="132"/>
    </row>
    <row r="2532" spans="1:8" s="289" customFormat="1" ht="15.75" outlineLevel="2">
      <c r="A2532" s="598"/>
      <c r="B2532" s="598"/>
      <c r="C2532" s="444">
        <v>2220200</v>
      </c>
      <c r="D2532" s="445" t="s">
        <v>179</v>
      </c>
      <c r="E2532" s="597">
        <f>E2533</f>
        <v>234000</v>
      </c>
      <c r="F2532" s="540">
        <f t="shared" ref="F2532:G2532" si="1902">E2532*1.1</f>
        <v>257400.00000000003</v>
      </c>
      <c r="G2532" s="540">
        <f t="shared" si="1902"/>
        <v>283140.00000000006</v>
      </c>
      <c r="H2532" s="132"/>
    </row>
    <row r="2533" spans="1:8" s="289" customFormat="1" ht="15.75" outlineLevel="2">
      <c r="A2533" s="598"/>
      <c r="B2533" s="598"/>
      <c r="C2533" s="448">
        <v>2220210</v>
      </c>
      <c r="D2533" s="449" t="s">
        <v>181</v>
      </c>
      <c r="E2533" s="319">
        <v>234000</v>
      </c>
      <c r="F2533" s="540">
        <f t="shared" ref="F2533:G2533" si="1903">E2533*1.1</f>
        <v>257400.00000000003</v>
      </c>
      <c r="G2533" s="540">
        <f t="shared" si="1903"/>
        <v>283140.00000000006</v>
      </c>
      <c r="H2533" s="132"/>
    </row>
    <row r="2534" spans="1:8" s="289" customFormat="1" ht="15.75" outlineLevel="2">
      <c r="A2534" s="596"/>
      <c r="B2534" s="596"/>
      <c r="C2534" s="443">
        <v>3111000</v>
      </c>
      <c r="D2534" s="445" t="s">
        <v>65</v>
      </c>
      <c r="E2534" s="597">
        <f>E2535+E2536+E2537</f>
        <v>1423185</v>
      </c>
      <c r="F2534" s="540">
        <f t="shared" ref="F2534:G2534" si="1904">E2534*1.1</f>
        <v>1565503.5000000002</v>
      </c>
      <c r="G2534" s="540">
        <f t="shared" si="1904"/>
        <v>1722053.8500000003</v>
      </c>
      <c r="H2534" s="132"/>
    </row>
    <row r="2535" spans="1:8" s="289" customFormat="1" ht="15.75" outlineLevel="2">
      <c r="A2535" s="598"/>
      <c r="B2535" s="598"/>
      <c r="C2535" s="448">
        <v>3111001</v>
      </c>
      <c r="D2535" s="449" t="s">
        <v>66</v>
      </c>
      <c r="E2535" s="491">
        <v>250000</v>
      </c>
      <c r="F2535" s="540">
        <f t="shared" ref="F2535:G2535" si="1905">E2535*1.1</f>
        <v>275000</v>
      </c>
      <c r="G2535" s="540">
        <f t="shared" si="1905"/>
        <v>302500</v>
      </c>
      <c r="H2535" s="132"/>
    </row>
    <row r="2536" spans="1:8" s="300" customFormat="1" ht="15.75" outlineLevel="2">
      <c r="A2536" s="598"/>
      <c r="B2536" s="598"/>
      <c r="C2536" s="448">
        <v>3111002</v>
      </c>
      <c r="D2536" s="449" t="s">
        <v>67</v>
      </c>
      <c r="E2536" s="319">
        <v>998185</v>
      </c>
      <c r="F2536" s="540">
        <f t="shared" ref="F2536:G2536" si="1906">E2536*1.1</f>
        <v>1098003.5</v>
      </c>
      <c r="G2536" s="540">
        <f t="shared" si="1906"/>
        <v>1207803.8500000001</v>
      </c>
      <c r="H2536" s="132"/>
    </row>
    <row r="2537" spans="1:8" s="289" customFormat="1" ht="15.75" outlineLevel="2">
      <c r="A2537" s="598"/>
      <c r="B2537" s="598"/>
      <c r="C2537" s="448">
        <v>3111009</v>
      </c>
      <c r="D2537" s="449" t="s">
        <v>227</v>
      </c>
      <c r="E2537" s="319">
        <v>175000</v>
      </c>
      <c r="F2537" s="540">
        <f t="shared" ref="F2537:G2537" si="1907">E2537*1.1</f>
        <v>192500.00000000003</v>
      </c>
      <c r="G2537" s="540">
        <f t="shared" si="1907"/>
        <v>211750.00000000006</v>
      </c>
      <c r="H2537" s="132"/>
    </row>
    <row r="2538" spans="1:8" s="289" customFormat="1" ht="15.75" outlineLevel="1">
      <c r="A2538" s="596"/>
      <c r="B2538" s="596"/>
      <c r="C2538" s="444" t="s">
        <v>734</v>
      </c>
      <c r="D2538" s="599"/>
      <c r="E2538" s="597">
        <f>E2534+E2532+E2529+E2527+E2525+E2520+E2518+E2515+E2510+E2508+E2503+E2499+E2494+E2492+E2486+E2489</f>
        <v>39059143</v>
      </c>
      <c r="F2538" s="540">
        <f t="shared" ref="F2538:G2538" si="1908">E2538*1.1</f>
        <v>42965057.300000004</v>
      </c>
      <c r="G2538" s="540">
        <f t="shared" si="1908"/>
        <v>47261563.030000009</v>
      </c>
      <c r="H2538" s="132"/>
    </row>
    <row r="2539" spans="1:8" s="289" customFormat="1" ht="15.75" outlineLevel="1">
      <c r="A2539" s="596"/>
      <c r="B2539" s="596"/>
      <c r="C2539" s="437"/>
      <c r="D2539" s="494"/>
      <c r="E2539" s="319"/>
      <c r="F2539" s="540">
        <f t="shared" ref="F2539:G2539" si="1909">E2539*1.1</f>
        <v>0</v>
      </c>
      <c r="G2539" s="540">
        <f t="shared" si="1909"/>
        <v>0</v>
      </c>
      <c r="H2539" s="132"/>
    </row>
    <row r="2540" spans="1:8" s="300" customFormat="1" ht="15.75" outlineLevel="1">
      <c r="A2540" s="596" t="s">
        <v>233</v>
      </c>
      <c r="B2540" s="596"/>
      <c r="C2540" s="443" t="s">
        <v>735</v>
      </c>
      <c r="D2540" s="492"/>
      <c r="E2540" s="319"/>
      <c r="F2540" s="540">
        <f t="shared" ref="F2540:G2540" si="1910">E2540*1.1</f>
        <v>0</v>
      </c>
      <c r="G2540" s="540">
        <f t="shared" si="1910"/>
        <v>0</v>
      </c>
      <c r="H2540" s="132"/>
    </row>
    <row r="2541" spans="1:8" s="289" customFormat="1" ht="15.75" outlineLevel="1">
      <c r="A2541" s="596"/>
      <c r="B2541" s="600" t="s">
        <v>98</v>
      </c>
      <c r="C2541" s="443" t="s">
        <v>736</v>
      </c>
      <c r="D2541" s="492"/>
      <c r="E2541" s="319"/>
      <c r="F2541" s="540">
        <f t="shared" ref="F2541:G2541" si="1911">E2541*1.1</f>
        <v>0</v>
      </c>
      <c r="G2541" s="540">
        <f t="shared" si="1911"/>
        <v>0</v>
      </c>
      <c r="H2541" s="132"/>
    </row>
    <row r="2542" spans="1:8" s="289" customFormat="1" ht="30" outlineLevel="2">
      <c r="A2542" s="596"/>
      <c r="B2542" s="596"/>
      <c r="C2542" s="444">
        <v>2210300</v>
      </c>
      <c r="D2542" s="445" t="s">
        <v>23</v>
      </c>
      <c r="E2542" s="597">
        <f>E2543+E2544+E2545</f>
        <v>939588</v>
      </c>
      <c r="F2542" s="540">
        <f t="shared" ref="F2542:G2542" si="1912">E2542*1.1</f>
        <v>1033546.8</v>
      </c>
      <c r="G2542" s="540">
        <f t="shared" si="1912"/>
        <v>1136901.4800000002</v>
      </c>
      <c r="H2542" s="132"/>
    </row>
    <row r="2543" spans="1:8" s="289" customFormat="1" ht="15.75" outlineLevel="2">
      <c r="A2543" s="598"/>
      <c r="B2543" s="598"/>
      <c r="C2543" s="448">
        <v>2210301</v>
      </c>
      <c r="D2543" s="449" t="s">
        <v>208</v>
      </c>
      <c r="E2543" s="319">
        <v>301598</v>
      </c>
      <c r="F2543" s="540">
        <f t="shared" ref="F2543:G2543" si="1913">E2543*1.1</f>
        <v>331757.80000000005</v>
      </c>
      <c r="G2543" s="540">
        <f t="shared" si="1913"/>
        <v>364933.58000000007</v>
      </c>
      <c r="H2543" s="132"/>
    </row>
    <row r="2544" spans="1:8" s="300" customFormat="1" ht="15.75" outlineLevel="2">
      <c r="A2544" s="598"/>
      <c r="B2544" s="598"/>
      <c r="C2544" s="448">
        <v>2210302</v>
      </c>
      <c r="D2544" s="449" t="s">
        <v>25</v>
      </c>
      <c r="E2544" s="319">
        <v>323133</v>
      </c>
      <c r="F2544" s="540">
        <f t="shared" ref="F2544:G2544" si="1914">E2544*1.1</f>
        <v>355446.30000000005</v>
      </c>
      <c r="G2544" s="540">
        <f t="shared" si="1914"/>
        <v>390990.93000000011</v>
      </c>
      <c r="H2544" s="132"/>
    </row>
    <row r="2545" spans="1:8" s="289" customFormat="1" ht="15.75" outlineLevel="2">
      <c r="A2545" s="598"/>
      <c r="B2545" s="598"/>
      <c r="C2545" s="448">
        <v>2210303</v>
      </c>
      <c r="D2545" s="449" t="s">
        <v>26</v>
      </c>
      <c r="E2545" s="319">
        <v>314857</v>
      </c>
      <c r="F2545" s="540">
        <f t="shared" ref="F2545:G2545" si="1915">E2545*1.1</f>
        <v>346342.7</v>
      </c>
      <c r="G2545" s="540">
        <f t="shared" si="1915"/>
        <v>380976.97000000003</v>
      </c>
      <c r="H2545" s="132"/>
    </row>
    <row r="2546" spans="1:8" s="300" customFormat="1" ht="15.75" outlineLevel="2">
      <c r="A2546" s="596"/>
      <c r="B2546" s="596"/>
      <c r="C2546" s="444">
        <v>2210500</v>
      </c>
      <c r="D2546" s="445" t="s">
        <v>30</v>
      </c>
      <c r="E2546" s="597">
        <f>E2547</f>
        <v>154706</v>
      </c>
      <c r="F2546" s="540">
        <f t="shared" ref="F2546:G2546" si="1916">E2546*1.1</f>
        <v>170176.6</v>
      </c>
      <c r="G2546" s="540">
        <f t="shared" si="1916"/>
        <v>187194.26</v>
      </c>
      <c r="H2546" s="132"/>
    </row>
    <row r="2547" spans="1:8" s="289" customFormat="1" ht="15.75" outlineLevel="2">
      <c r="A2547" s="598"/>
      <c r="B2547" s="598"/>
      <c r="C2547" s="448">
        <v>2210502</v>
      </c>
      <c r="D2547" s="449" t="s">
        <v>162</v>
      </c>
      <c r="E2547" s="319">
        <v>154706</v>
      </c>
      <c r="F2547" s="540">
        <f t="shared" ref="F2547:G2547" si="1917">E2547*1.1</f>
        <v>170176.6</v>
      </c>
      <c r="G2547" s="540">
        <f t="shared" si="1917"/>
        <v>187194.26</v>
      </c>
      <c r="H2547" s="132"/>
    </row>
    <row r="2548" spans="1:8" s="300" customFormat="1" ht="15.75" outlineLevel="2">
      <c r="A2548" s="596"/>
      <c r="B2548" s="596"/>
      <c r="C2548" s="444">
        <v>2210700</v>
      </c>
      <c r="D2548" s="445" t="s">
        <v>214</v>
      </c>
      <c r="E2548" s="597">
        <f>E2549+E2550+E2551</f>
        <v>910477</v>
      </c>
      <c r="F2548" s="540">
        <f t="shared" ref="F2548:G2548" si="1918">E2548*1.1</f>
        <v>1001524.7000000001</v>
      </c>
      <c r="G2548" s="540">
        <f t="shared" si="1918"/>
        <v>1101677.1700000002</v>
      </c>
      <c r="H2548" s="132"/>
    </row>
    <row r="2549" spans="1:8" s="289" customFormat="1" ht="15.75" outlineLevel="2">
      <c r="A2549" s="598"/>
      <c r="B2549" s="598"/>
      <c r="C2549" s="448">
        <v>2210701</v>
      </c>
      <c r="D2549" s="449" t="s">
        <v>35</v>
      </c>
      <c r="E2549" s="319">
        <v>395229</v>
      </c>
      <c r="F2549" s="540">
        <f t="shared" ref="F2549:G2549" si="1919">E2549*1.1</f>
        <v>434751.9</v>
      </c>
      <c r="G2549" s="540">
        <f t="shared" si="1919"/>
        <v>478227.09000000008</v>
      </c>
      <c r="H2549" s="132"/>
    </row>
    <row r="2550" spans="1:8" s="300" customFormat="1" ht="15.75" outlineLevel="2">
      <c r="A2550" s="598"/>
      <c r="B2550" s="598"/>
      <c r="C2550" s="448">
        <v>2210710</v>
      </c>
      <c r="D2550" s="449" t="s">
        <v>38</v>
      </c>
      <c r="E2550" s="319">
        <v>310004</v>
      </c>
      <c r="F2550" s="540">
        <f t="shared" ref="F2550:G2550" si="1920">E2550*1.1</f>
        <v>341004.4</v>
      </c>
      <c r="G2550" s="540">
        <f t="shared" si="1920"/>
        <v>375104.84000000008</v>
      </c>
      <c r="H2550" s="132"/>
    </row>
    <row r="2551" spans="1:8" s="289" customFormat="1" ht="15.75" outlineLevel="2">
      <c r="A2551" s="598"/>
      <c r="B2551" s="598"/>
      <c r="C2551" s="437">
        <v>2210715</v>
      </c>
      <c r="D2551" s="494" t="s">
        <v>39</v>
      </c>
      <c r="E2551" s="319">
        <v>205244</v>
      </c>
      <c r="F2551" s="540">
        <f t="shared" ref="F2551:G2551" si="1921">E2551*1.1</f>
        <v>225768.40000000002</v>
      </c>
      <c r="G2551" s="540">
        <f t="shared" si="1921"/>
        <v>248345.24000000005</v>
      </c>
      <c r="H2551" s="132"/>
    </row>
    <row r="2552" spans="1:8" s="300" customFormat="1" ht="15.75" outlineLevel="2">
      <c r="A2552" s="596"/>
      <c r="B2552" s="596"/>
      <c r="C2552" s="444">
        <v>2210800</v>
      </c>
      <c r="D2552" s="445" t="s">
        <v>41</v>
      </c>
      <c r="E2552" s="597">
        <f>E2553</f>
        <v>100000</v>
      </c>
      <c r="F2552" s="540">
        <f t="shared" ref="F2552:G2552" si="1922">E2552*1.1</f>
        <v>110000.00000000001</v>
      </c>
      <c r="G2552" s="540">
        <f t="shared" si="1922"/>
        <v>121000.00000000003</v>
      </c>
      <c r="H2552" s="132"/>
    </row>
    <row r="2553" spans="1:8" s="289" customFormat="1" ht="15.75" outlineLevel="2">
      <c r="A2553" s="598"/>
      <c r="B2553" s="598"/>
      <c r="C2553" s="437">
        <v>2210805</v>
      </c>
      <c r="D2553" s="494" t="s">
        <v>737</v>
      </c>
      <c r="E2553" s="319">
        <v>100000</v>
      </c>
      <c r="F2553" s="540">
        <f t="shared" ref="F2553:G2553" si="1923">E2553*1.1</f>
        <v>110000.00000000001</v>
      </c>
      <c r="G2553" s="540">
        <f t="shared" si="1923"/>
        <v>121000.00000000003</v>
      </c>
      <c r="H2553" s="132"/>
    </row>
    <row r="2554" spans="1:8" s="300" customFormat="1" ht="15.75" outlineLevel="2">
      <c r="A2554" s="596"/>
      <c r="B2554" s="596"/>
      <c r="C2554" s="444">
        <v>2211300</v>
      </c>
      <c r="D2554" s="445" t="s">
        <v>55</v>
      </c>
      <c r="E2554" s="597">
        <f>E2555</f>
        <v>40600</v>
      </c>
      <c r="F2554" s="540">
        <f t="shared" ref="F2554:G2554" si="1924">E2554*1.1</f>
        <v>44660</v>
      </c>
      <c r="G2554" s="540">
        <f t="shared" si="1924"/>
        <v>49126.000000000007</v>
      </c>
      <c r="H2554" s="132"/>
    </row>
    <row r="2555" spans="1:8" s="289" customFormat="1" ht="30" outlineLevel="2">
      <c r="A2555" s="598"/>
      <c r="B2555" s="598"/>
      <c r="C2555" s="448">
        <v>2211306</v>
      </c>
      <c r="D2555" s="449" t="s">
        <v>57</v>
      </c>
      <c r="E2555" s="319">
        <v>40600</v>
      </c>
      <c r="F2555" s="540">
        <f t="shared" ref="F2555:G2555" si="1925">E2555*1.1</f>
        <v>44660</v>
      </c>
      <c r="G2555" s="540">
        <f t="shared" si="1925"/>
        <v>49126.000000000007</v>
      </c>
      <c r="H2555" s="132"/>
    </row>
    <row r="2556" spans="1:8" s="300" customFormat="1" ht="15.75" outlineLevel="1">
      <c r="A2556" s="596"/>
      <c r="B2556" s="596"/>
      <c r="C2556" s="444" t="s">
        <v>734</v>
      </c>
      <c r="D2556" s="599"/>
      <c r="E2556" s="597">
        <f>E2554+E2548+E2546+E2542+E2552</f>
        <v>2145371</v>
      </c>
      <c r="F2556" s="540">
        <f t="shared" ref="F2556:G2556" si="1926">E2556*1.1</f>
        <v>2359908.1</v>
      </c>
      <c r="G2556" s="540">
        <f t="shared" si="1926"/>
        <v>2595898.91</v>
      </c>
      <c r="H2556" s="132"/>
    </row>
    <row r="2557" spans="1:8" s="289" customFormat="1" ht="15.75" outlineLevel="1">
      <c r="A2557" s="596"/>
      <c r="B2557" s="596"/>
      <c r="C2557" s="443" t="s">
        <v>80</v>
      </c>
      <c r="D2557" s="492"/>
      <c r="E2557" s="597">
        <f>E2556</f>
        <v>2145371</v>
      </c>
      <c r="F2557" s="540">
        <f t="shared" ref="F2557:G2557" si="1927">E2557*1.1</f>
        <v>2359908.1</v>
      </c>
      <c r="G2557" s="540">
        <f t="shared" si="1927"/>
        <v>2595898.91</v>
      </c>
      <c r="H2557" s="132"/>
    </row>
    <row r="2558" spans="1:8" s="289" customFormat="1" ht="15.75" outlineLevel="1">
      <c r="A2558" s="596"/>
      <c r="B2558" s="596"/>
      <c r="C2558" s="437"/>
      <c r="D2558" s="494"/>
      <c r="E2558" s="319"/>
      <c r="F2558" s="540">
        <f t="shared" ref="F2558:G2558" si="1928">E2558*1.1</f>
        <v>0</v>
      </c>
      <c r="G2558" s="540">
        <f t="shared" si="1928"/>
        <v>0</v>
      </c>
      <c r="H2558" s="132"/>
    </row>
    <row r="2559" spans="1:8" s="300" customFormat="1" ht="15.75" outlineLevel="1">
      <c r="A2559" s="596" t="s">
        <v>233</v>
      </c>
      <c r="B2559" s="596"/>
      <c r="C2559" s="443" t="s">
        <v>738</v>
      </c>
      <c r="D2559" s="492"/>
      <c r="E2559" s="319"/>
      <c r="F2559" s="540">
        <f t="shared" ref="F2559:G2559" si="1929">E2559*1.1</f>
        <v>0</v>
      </c>
      <c r="G2559" s="540">
        <f t="shared" si="1929"/>
        <v>0</v>
      </c>
      <c r="H2559" s="132"/>
    </row>
    <row r="2560" spans="1:8" s="289" customFormat="1" ht="15.75" outlineLevel="1">
      <c r="A2560" s="596"/>
      <c r="B2560" s="600" t="s">
        <v>98</v>
      </c>
      <c r="C2560" s="443" t="s">
        <v>739</v>
      </c>
      <c r="D2560" s="492"/>
      <c r="E2560" s="319"/>
      <c r="F2560" s="540">
        <f t="shared" ref="F2560:G2560" si="1930">E2560*1.1</f>
        <v>0</v>
      </c>
      <c r="G2560" s="540">
        <f t="shared" si="1930"/>
        <v>0</v>
      </c>
      <c r="H2560" s="132"/>
    </row>
    <row r="2561" spans="1:8" s="289" customFormat="1" ht="15.75" outlineLevel="2">
      <c r="A2561" s="596"/>
      <c r="B2561" s="596"/>
      <c r="C2561" s="444">
        <v>2210200</v>
      </c>
      <c r="D2561" s="445" t="s">
        <v>19</v>
      </c>
      <c r="E2561" s="597">
        <f>E2562</f>
        <v>382100</v>
      </c>
      <c r="F2561" s="540">
        <f t="shared" ref="F2561:G2561" si="1931">E2561*1.1</f>
        <v>420310.00000000006</v>
      </c>
      <c r="G2561" s="540">
        <f t="shared" si="1931"/>
        <v>462341.00000000012</v>
      </c>
      <c r="H2561" s="132"/>
    </row>
    <row r="2562" spans="1:8" s="289" customFormat="1" ht="15.75" outlineLevel="2">
      <c r="A2562" s="598"/>
      <c r="B2562" s="598"/>
      <c r="C2562" s="448">
        <v>2210201</v>
      </c>
      <c r="D2562" s="449" t="s">
        <v>236</v>
      </c>
      <c r="E2562" s="319">
        <v>382100</v>
      </c>
      <c r="F2562" s="540">
        <f t="shared" ref="F2562:G2562" si="1932">E2562*1.1</f>
        <v>420310.00000000006</v>
      </c>
      <c r="G2562" s="540">
        <f t="shared" si="1932"/>
        <v>462341.00000000012</v>
      </c>
      <c r="H2562" s="132"/>
    </row>
    <row r="2563" spans="1:8" s="300" customFormat="1" ht="30" outlineLevel="2">
      <c r="A2563" s="596"/>
      <c r="B2563" s="596"/>
      <c r="C2563" s="444">
        <v>2210300</v>
      </c>
      <c r="D2563" s="445" t="s">
        <v>23</v>
      </c>
      <c r="E2563" s="597">
        <f>E2564+E2565+E2566</f>
        <v>919078</v>
      </c>
      <c r="F2563" s="540">
        <f t="shared" ref="F2563:G2563" si="1933">E2563*1.1</f>
        <v>1010985.8</v>
      </c>
      <c r="G2563" s="540">
        <f t="shared" si="1933"/>
        <v>1112084.3800000001</v>
      </c>
      <c r="H2563" s="132"/>
    </row>
    <row r="2564" spans="1:8" s="289" customFormat="1" ht="15.75" outlineLevel="2">
      <c r="A2564" s="598"/>
      <c r="B2564" s="598"/>
      <c r="C2564" s="448">
        <v>2210301</v>
      </c>
      <c r="D2564" s="449" t="s">
        <v>208</v>
      </c>
      <c r="E2564" s="319">
        <v>306088</v>
      </c>
      <c r="F2564" s="540">
        <f t="shared" ref="F2564:G2564" si="1934">E2564*1.1</f>
        <v>336696.80000000005</v>
      </c>
      <c r="G2564" s="540">
        <f t="shared" si="1934"/>
        <v>370366.4800000001</v>
      </c>
      <c r="H2564" s="132"/>
    </row>
    <row r="2565" spans="1:8" s="300" customFormat="1" ht="15.75" outlineLevel="2">
      <c r="A2565" s="598"/>
      <c r="B2565" s="598"/>
      <c r="C2565" s="448">
        <v>2210302</v>
      </c>
      <c r="D2565" s="449" t="s">
        <v>25</v>
      </c>
      <c r="E2565" s="319">
        <v>310133</v>
      </c>
      <c r="F2565" s="540">
        <f t="shared" ref="F2565:G2565" si="1935">E2565*1.1</f>
        <v>341146.30000000005</v>
      </c>
      <c r="G2565" s="540">
        <f t="shared" si="1935"/>
        <v>375260.93000000011</v>
      </c>
      <c r="H2565" s="132"/>
    </row>
    <row r="2566" spans="1:8" s="289" customFormat="1" ht="15.75" outlineLevel="2">
      <c r="A2566" s="598"/>
      <c r="B2566" s="598"/>
      <c r="C2566" s="448">
        <v>2210303</v>
      </c>
      <c r="D2566" s="449" t="s">
        <v>26</v>
      </c>
      <c r="E2566" s="319">
        <v>302857</v>
      </c>
      <c r="F2566" s="540">
        <f t="shared" ref="F2566:G2566" si="1936">E2566*1.1</f>
        <v>333142.7</v>
      </c>
      <c r="G2566" s="540">
        <f t="shared" si="1936"/>
        <v>366456.97000000003</v>
      </c>
      <c r="H2566" s="132"/>
    </row>
    <row r="2567" spans="1:8" s="300" customFormat="1" ht="15.75" outlineLevel="2">
      <c r="A2567" s="596"/>
      <c r="B2567" s="596"/>
      <c r="C2567" s="444">
        <v>2210500</v>
      </c>
      <c r="D2567" s="445" t="s">
        <v>30</v>
      </c>
      <c r="E2567" s="597">
        <f>E2568</f>
        <v>191000</v>
      </c>
      <c r="F2567" s="540">
        <f t="shared" ref="F2567:G2567" si="1937">E2567*1.1</f>
        <v>210100.00000000003</v>
      </c>
      <c r="G2567" s="540">
        <f t="shared" si="1937"/>
        <v>231110.00000000006</v>
      </c>
      <c r="H2567" s="132"/>
    </row>
    <row r="2568" spans="1:8" s="289" customFormat="1" ht="15.75" outlineLevel="2">
      <c r="A2568" s="598"/>
      <c r="B2568" s="598"/>
      <c r="C2568" s="448">
        <v>2210503</v>
      </c>
      <c r="D2568" s="449" t="s">
        <v>31</v>
      </c>
      <c r="E2568" s="319">
        <v>191000</v>
      </c>
      <c r="F2568" s="540">
        <f t="shared" ref="F2568:G2568" si="1938">E2568*1.1</f>
        <v>210100.00000000003</v>
      </c>
      <c r="G2568" s="540">
        <f t="shared" si="1938"/>
        <v>231110.00000000006</v>
      </c>
      <c r="H2568" s="132"/>
    </row>
    <row r="2569" spans="1:8" s="289" customFormat="1" ht="15.75" outlineLevel="1">
      <c r="A2569" s="596"/>
      <c r="B2569" s="596"/>
      <c r="C2569" s="444" t="s">
        <v>734</v>
      </c>
      <c r="D2569" s="599"/>
      <c r="E2569" s="597">
        <f>E2567+E2563+E2561</f>
        <v>1492178</v>
      </c>
      <c r="F2569" s="540">
        <f t="shared" ref="F2569:G2569" si="1939">E2569*1.1</f>
        <v>1641395.8</v>
      </c>
      <c r="G2569" s="540">
        <f t="shared" si="1939"/>
        <v>1805535.3800000001</v>
      </c>
      <c r="H2569" s="132"/>
    </row>
    <row r="2570" spans="1:8" s="300" customFormat="1" ht="15.75" outlineLevel="1">
      <c r="A2570" s="596"/>
      <c r="B2570" s="596"/>
      <c r="C2570" s="443" t="s">
        <v>80</v>
      </c>
      <c r="D2570" s="492"/>
      <c r="E2570" s="597">
        <f>E2569</f>
        <v>1492178</v>
      </c>
      <c r="F2570" s="540">
        <f t="shared" ref="F2570:G2570" si="1940">E2570*1.1</f>
        <v>1641395.8</v>
      </c>
      <c r="G2570" s="540">
        <f t="shared" si="1940"/>
        <v>1805535.3800000001</v>
      </c>
      <c r="H2570" s="132"/>
    </row>
    <row r="2571" spans="1:8" s="289" customFormat="1" ht="15.75" outlineLevel="1">
      <c r="A2571" s="596"/>
      <c r="B2571" s="596"/>
      <c r="C2571" s="601"/>
      <c r="D2571" s="492"/>
      <c r="E2571" s="319"/>
      <c r="F2571" s="540">
        <f t="shared" ref="F2571:G2571" si="1941">E2571*1.1</f>
        <v>0</v>
      </c>
      <c r="G2571" s="540">
        <f t="shared" si="1941"/>
        <v>0</v>
      </c>
      <c r="H2571" s="132"/>
    </row>
    <row r="2572" spans="1:8" s="289" customFormat="1" ht="15.75" outlineLevel="1">
      <c r="A2572" s="596" t="s">
        <v>233</v>
      </c>
      <c r="B2572" s="596"/>
      <c r="C2572" s="443" t="s">
        <v>740</v>
      </c>
      <c r="D2572" s="492"/>
      <c r="E2572" s="319"/>
      <c r="F2572" s="540">
        <f t="shared" ref="F2572:G2572" si="1942">E2572*1.1</f>
        <v>0</v>
      </c>
      <c r="G2572" s="540">
        <f t="shared" si="1942"/>
        <v>0</v>
      </c>
      <c r="H2572" s="132"/>
    </row>
    <row r="2573" spans="1:8" s="289" customFormat="1" ht="15.75" outlineLevel="1">
      <c r="A2573" s="596"/>
      <c r="B2573" s="600" t="s">
        <v>98</v>
      </c>
      <c r="C2573" s="443" t="s">
        <v>741</v>
      </c>
      <c r="D2573" s="328"/>
      <c r="E2573" s="319"/>
      <c r="F2573" s="540">
        <f t="shared" ref="F2573:G2573" si="1943">E2573*1.1</f>
        <v>0</v>
      </c>
      <c r="G2573" s="540">
        <f t="shared" si="1943"/>
        <v>0</v>
      </c>
      <c r="H2573" s="132"/>
    </row>
    <row r="2574" spans="1:8" s="289" customFormat="1" ht="15.75" outlineLevel="3">
      <c r="A2574" s="596"/>
      <c r="B2574" s="596"/>
      <c r="C2574" s="444">
        <v>2110100</v>
      </c>
      <c r="D2574" s="445" t="s">
        <v>13</v>
      </c>
      <c r="E2574" s="597">
        <f>E2575+E2576</f>
        <v>15231690</v>
      </c>
      <c r="F2574" s="540">
        <f t="shared" ref="F2574:G2574" si="1944">E2574*1.1</f>
        <v>16754859.000000002</v>
      </c>
      <c r="G2574" s="540">
        <f t="shared" si="1944"/>
        <v>18430344.900000002</v>
      </c>
      <c r="H2574" s="132"/>
    </row>
    <row r="2575" spans="1:8" s="300" customFormat="1" ht="15.75" outlineLevel="3">
      <c r="A2575" s="596"/>
      <c r="B2575" s="596"/>
      <c r="C2575" s="448">
        <v>2110101</v>
      </c>
      <c r="D2575" s="449" t="s">
        <v>14</v>
      </c>
      <c r="E2575" s="319">
        <v>15163690</v>
      </c>
      <c r="F2575" s="540">
        <f t="shared" ref="F2575:G2575" si="1945">E2575*1.1</f>
        <v>16680059.000000002</v>
      </c>
      <c r="G2575" s="540">
        <f t="shared" si="1945"/>
        <v>18348064.900000002</v>
      </c>
      <c r="H2575" s="132"/>
    </row>
    <row r="2576" spans="1:8" s="289" customFormat="1" ht="15.75" outlineLevel="3">
      <c r="A2576" s="596"/>
      <c r="B2576" s="598"/>
      <c r="C2576" s="448">
        <v>2110120</v>
      </c>
      <c r="D2576" s="449" t="s">
        <v>731</v>
      </c>
      <c r="E2576" s="319">
        <v>68000</v>
      </c>
      <c r="F2576" s="540">
        <f t="shared" ref="F2576:G2576" si="1946">E2576*1.1</f>
        <v>74800</v>
      </c>
      <c r="G2576" s="540">
        <f t="shared" si="1946"/>
        <v>82280</v>
      </c>
      <c r="H2576" s="132"/>
    </row>
    <row r="2577" spans="1:8" s="300" customFormat="1" ht="15.75" outlineLevel="3">
      <c r="A2577" s="596"/>
      <c r="B2577" s="596"/>
      <c r="C2577" s="444">
        <v>2110200</v>
      </c>
      <c r="D2577" s="445" t="s">
        <v>742</v>
      </c>
      <c r="E2577" s="597">
        <f>E2578</f>
        <v>360000</v>
      </c>
      <c r="F2577" s="540">
        <f t="shared" ref="F2577:G2577" si="1947">E2577*1.1</f>
        <v>396000.00000000006</v>
      </c>
      <c r="G2577" s="540">
        <f t="shared" si="1947"/>
        <v>435600.00000000012</v>
      </c>
      <c r="H2577" s="132"/>
    </row>
    <row r="2578" spans="1:8" s="289" customFormat="1" ht="15.75" outlineLevel="3">
      <c r="A2578" s="596"/>
      <c r="B2578" s="596"/>
      <c r="C2578" s="448">
        <v>2110202</v>
      </c>
      <c r="D2578" s="449" t="s">
        <v>743</v>
      </c>
      <c r="E2578" s="319">
        <v>360000</v>
      </c>
      <c r="F2578" s="540">
        <f t="shared" ref="F2578:G2578" si="1948">E2578*1.1</f>
        <v>396000.00000000006</v>
      </c>
      <c r="G2578" s="540">
        <f t="shared" si="1948"/>
        <v>435600.00000000012</v>
      </c>
      <c r="H2578" s="132"/>
    </row>
    <row r="2579" spans="1:8" s="300" customFormat="1" ht="30" outlineLevel="3">
      <c r="A2579" s="596"/>
      <c r="B2579" s="596"/>
      <c r="C2579" s="443">
        <v>2210300</v>
      </c>
      <c r="D2579" s="445" t="s">
        <v>23</v>
      </c>
      <c r="E2579" s="597">
        <f>E2580+E2581+E2582+E2583</f>
        <v>1066550</v>
      </c>
      <c r="F2579" s="540">
        <f t="shared" ref="F2579:G2579" si="1949">E2579*1.1</f>
        <v>1173205</v>
      </c>
      <c r="G2579" s="540">
        <f t="shared" si="1949"/>
        <v>1290525.5</v>
      </c>
      <c r="H2579" s="132"/>
    </row>
    <row r="2580" spans="1:8" s="289" customFormat="1" ht="15.75" outlineLevel="3">
      <c r="A2580" s="598"/>
      <c r="B2580" s="598"/>
      <c r="C2580" s="437">
        <v>2210301</v>
      </c>
      <c r="D2580" s="449" t="s">
        <v>208</v>
      </c>
      <c r="E2580" s="319">
        <v>302490</v>
      </c>
      <c r="F2580" s="540">
        <f t="shared" ref="F2580:G2580" si="1950">E2580*1.1</f>
        <v>332739</v>
      </c>
      <c r="G2580" s="540">
        <f t="shared" si="1950"/>
        <v>366012.9</v>
      </c>
      <c r="H2580" s="132"/>
    </row>
    <row r="2581" spans="1:8" s="289" customFormat="1" ht="15.75" outlineLevel="3">
      <c r="A2581" s="598"/>
      <c r="B2581" s="598"/>
      <c r="C2581" s="437">
        <v>2210302</v>
      </c>
      <c r="D2581" s="449" t="s">
        <v>25</v>
      </c>
      <c r="E2581" s="319">
        <v>358204</v>
      </c>
      <c r="F2581" s="540">
        <f t="shared" ref="F2581:G2581" si="1951">E2581*1.1</f>
        <v>394024.4</v>
      </c>
      <c r="G2581" s="540">
        <f t="shared" si="1951"/>
        <v>433426.84000000008</v>
      </c>
      <c r="H2581" s="132"/>
    </row>
    <row r="2582" spans="1:8" ht="15.75" outlineLevel="3">
      <c r="A2582" s="598"/>
      <c r="B2582" s="598"/>
      <c r="C2582" s="437">
        <v>2210303</v>
      </c>
      <c r="D2582" s="449" t="s">
        <v>26</v>
      </c>
      <c r="E2582" s="319">
        <v>304856</v>
      </c>
      <c r="F2582" s="540">
        <f t="shared" ref="F2582:G2582" si="1952">E2582*1.1</f>
        <v>335341.60000000003</v>
      </c>
      <c r="G2582" s="540">
        <f t="shared" si="1952"/>
        <v>368875.76000000007</v>
      </c>
    </row>
    <row r="2583" spans="1:8" ht="15.75" outlineLevel="3">
      <c r="A2583" s="598"/>
      <c r="B2583" s="598"/>
      <c r="C2583" s="448">
        <v>2210304</v>
      </c>
      <c r="D2583" s="449" t="s">
        <v>27</v>
      </c>
      <c r="E2583" s="319">
        <v>101000</v>
      </c>
      <c r="F2583" s="540">
        <f t="shared" ref="F2583:G2583" si="1953">E2583*1.1</f>
        <v>111100.00000000001</v>
      </c>
      <c r="G2583" s="540">
        <f t="shared" si="1953"/>
        <v>122210.00000000003</v>
      </c>
    </row>
    <row r="2584" spans="1:8" s="300" customFormat="1" ht="15.75" outlineLevel="3">
      <c r="A2584" s="596"/>
      <c r="B2584" s="596"/>
      <c r="C2584" s="444">
        <v>2210800</v>
      </c>
      <c r="D2584" s="445" t="s">
        <v>41</v>
      </c>
      <c r="E2584" s="597">
        <f>E2585+E2586</f>
        <v>314000</v>
      </c>
      <c r="F2584" s="540">
        <f t="shared" ref="F2584:G2584" si="1954">E2584*1.1</f>
        <v>345400</v>
      </c>
      <c r="G2584" s="540">
        <f t="shared" si="1954"/>
        <v>379940.00000000006</v>
      </c>
      <c r="H2584" s="132"/>
    </row>
    <row r="2585" spans="1:8" s="289" customFormat="1" ht="30" outlineLevel="3">
      <c r="A2585" s="598"/>
      <c r="B2585" s="598"/>
      <c r="C2585" s="448">
        <v>2210801</v>
      </c>
      <c r="D2585" s="449" t="s">
        <v>112</v>
      </c>
      <c r="E2585" s="319">
        <v>211000</v>
      </c>
      <c r="F2585" s="540">
        <f t="shared" ref="F2585:G2585" si="1955">E2585*1.1</f>
        <v>232100.00000000003</v>
      </c>
      <c r="G2585" s="540">
        <f t="shared" si="1955"/>
        <v>255310.00000000006</v>
      </c>
      <c r="H2585" s="132"/>
    </row>
    <row r="2586" spans="1:8" s="289" customFormat="1" ht="15.75" outlineLevel="3">
      <c r="A2586" s="598"/>
      <c r="B2586" s="598"/>
      <c r="C2586" s="448">
        <v>2210802</v>
      </c>
      <c r="D2586" s="449" t="s">
        <v>86</v>
      </c>
      <c r="E2586" s="319">
        <v>103000</v>
      </c>
      <c r="F2586" s="540">
        <f t="shared" ref="F2586:G2586" si="1956">E2586*1.1</f>
        <v>113300.00000000001</v>
      </c>
      <c r="G2586" s="540">
        <f t="shared" si="1956"/>
        <v>124630.00000000003</v>
      </c>
      <c r="H2586" s="132"/>
    </row>
    <row r="2587" spans="1:8" s="289" customFormat="1" ht="15.75" outlineLevel="3">
      <c r="A2587" s="596"/>
      <c r="B2587" s="596"/>
      <c r="C2587" s="444">
        <v>2211200</v>
      </c>
      <c r="D2587" s="445" t="s">
        <v>53</v>
      </c>
      <c r="E2587" s="597">
        <f>E2588</f>
        <v>824972</v>
      </c>
      <c r="F2587" s="540">
        <f t="shared" ref="F2587:G2587" si="1957">E2587*1.1</f>
        <v>907469.20000000007</v>
      </c>
      <c r="G2587" s="540">
        <f t="shared" si="1957"/>
        <v>998216.12000000011</v>
      </c>
      <c r="H2587" s="132"/>
    </row>
    <row r="2588" spans="1:8" s="289" customFormat="1" ht="15.75" outlineLevel="3">
      <c r="A2588" s="598"/>
      <c r="B2588" s="598"/>
      <c r="C2588" s="448">
        <v>2211201</v>
      </c>
      <c r="D2588" s="449" t="s">
        <v>91</v>
      </c>
      <c r="E2588" s="319">
        <v>824972</v>
      </c>
      <c r="F2588" s="540">
        <f t="shared" ref="F2588:G2588" si="1958">E2588*1.1</f>
        <v>907469.20000000007</v>
      </c>
      <c r="G2588" s="540">
        <f t="shared" si="1958"/>
        <v>998216.12000000011</v>
      </c>
      <c r="H2588" s="132"/>
    </row>
    <row r="2589" spans="1:8" ht="15.75" outlineLevel="3">
      <c r="A2589" s="596"/>
      <c r="B2589" s="596"/>
      <c r="C2589" s="444">
        <v>2211100</v>
      </c>
      <c r="D2589" s="445" t="s">
        <v>49</v>
      </c>
      <c r="E2589" s="597">
        <f>E2590+E2591</f>
        <v>416668</v>
      </c>
      <c r="F2589" s="540">
        <f t="shared" ref="F2589:G2589" si="1959">E2589*1.1</f>
        <v>458334.80000000005</v>
      </c>
      <c r="G2589" s="540">
        <f t="shared" si="1959"/>
        <v>504168.28000000009</v>
      </c>
    </row>
    <row r="2590" spans="1:8" s="300" customFormat="1" ht="30" outlineLevel="3">
      <c r="A2590" s="598"/>
      <c r="B2590" s="598"/>
      <c r="C2590" s="448">
        <v>2211101</v>
      </c>
      <c r="D2590" s="494" t="s">
        <v>220</v>
      </c>
      <c r="E2590" s="319">
        <v>213277</v>
      </c>
      <c r="F2590" s="540">
        <f t="shared" ref="F2590:G2590" si="1960">E2590*1.1</f>
        <v>234604.7</v>
      </c>
      <c r="G2590" s="540">
        <f t="shared" si="1960"/>
        <v>258065.17000000004</v>
      </c>
      <c r="H2590" s="132"/>
    </row>
    <row r="2591" spans="1:8" s="289" customFormat="1" ht="15.75" outlineLevel="3">
      <c r="A2591" s="598"/>
      <c r="B2591" s="598"/>
      <c r="C2591" s="448">
        <v>2211102</v>
      </c>
      <c r="D2591" s="449" t="s">
        <v>51</v>
      </c>
      <c r="E2591" s="319">
        <v>203391</v>
      </c>
      <c r="F2591" s="540">
        <f t="shared" ref="F2591:G2591" si="1961">E2591*1.1</f>
        <v>223730.1</v>
      </c>
      <c r="G2591" s="540">
        <f t="shared" si="1961"/>
        <v>246103.11000000002</v>
      </c>
      <c r="H2591" s="132"/>
    </row>
    <row r="2592" spans="1:8" s="300" customFormat="1" ht="15.75" outlineLevel="3">
      <c r="A2592" s="596"/>
      <c r="B2592" s="596"/>
      <c r="C2592" s="444">
        <v>2210700</v>
      </c>
      <c r="D2592" s="445" t="s">
        <v>214</v>
      </c>
      <c r="E2592" s="597">
        <f>E2593+E2594+E2595</f>
        <v>812000</v>
      </c>
      <c r="F2592" s="540">
        <f t="shared" ref="F2592:G2592" si="1962">E2592*1.1</f>
        <v>893200.00000000012</v>
      </c>
      <c r="G2592" s="540">
        <f t="shared" si="1962"/>
        <v>982520.00000000023</v>
      </c>
      <c r="H2592" s="132"/>
    </row>
    <row r="2593" spans="1:8" s="289" customFormat="1" ht="15.75" outlineLevel="3">
      <c r="A2593" s="598"/>
      <c r="B2593" s="598"/>
      <c r="C2593" s="448">
        <v>2210701</v>
      </c>
      <c r="D2593" s="449" t="s">
        <v>35</v>
      </c>
      <c r="E2593" s="319">
        <v>312000</v>
      </c>
      <c r="F2593" s="540">
        <f t="shared" ref="F2593:G2593" si="1963">E2593*1.1</f>
        <v>343200</v>
      </c>
      <c r="G2593" s="540">
        <f t="shared" si="1963"/>
        <v>377520.00000000006</v>
      </c>
      <c r="H2593" s="132"/>
    </row>
    <row r="2594" spans="1:8" s="289" customFormat="1" ht="15.75" outlineLevel="3">
      <c r="A2594" s="598"/>
      <c r="B2594" s="598"/>
      <c r="C2594" s="448">
        <v>2210710</v>
      </c>
      <c r="D2594" s="449" t="s">
        <v>38</v>
      </c>
      <c r="E2594" s="319">
        <v>320000</v>
      </c>
      <c r="F2594" s="540">
        <f t="shared" ref="F2594:G2594" si="1964">E2594*1.1</f>
        <v>352000</v>
      </c>
      <c r="G2594" s="540">
        <f t="shared" si="1964"/>
        <v>387200.00000000006</v>
      </c>
      <c r="H2594" s="132"/>
    </row>
    <row r="2595" spans="1:8" s="289" customFormat="1" ht="15.75" outlineLevel="3">
      <c r="A2595" s="598"/>
      <c r="B2595" s="598"/>
      <c r="C2595" s="448">
        <v>2210715</v>
      </c>
      <c r="D2595" s="449" t="s">
        <v>39</v>
      </c>
      <c r="E2595" s="319">
        <v>180000</v>
      </c>
      <c r="F2595" s="540">
        <f t="shared" ref="F2595:G2595" si="1965">E2595*1.1</f>
        <v>198000.00000000003</v>
      </c>
      <c r="G2595" s="540">
        <f t="shared" si="1965"/>
        <v>217800.00000000006</v>
      </c>
      <c r="H2595" s="132"/>
    </row>
    <row r="2596" spans="1:8" s="300" customFormat="1" ht="30" outlineLevel="3">
      <c r="A2596" s="596"/>
      <c r="B2596" s="596"/>
      <c r="C2596" s="444">
        <v>2220100</v>
      </c>
      <c r="D2596" s="445" t="s">
        <v>224</v>
      </c>
      <c r="E2596" s="597">
        <f>E2597+E2598</f>
        <v>650000</v>
      </c>
      <c r="F2596" s="540">
        <f t="shared" ref="F2596:G2596" si="1966">E2596*1.1</f>
        <v>715000</v>
      </c>
      <c r="G2596" s="540">
        <f t="shared" si="1966"/>
        <v>786500.00000000012</v>
      </c>
      <c r="H2596" s="132"/>
    </row>
    <row r="2597" spans="1:8" s="289" customFormat="1" ht="15.75" outlineLevel="3">
      <c r="A2597" s="598"/>
      <c r="B2597" s="598"/>
      <c r="C2597" s="448">
        <v>2220101</v>
      </c>
      <c r="D2597" s="449" t="s">
        <v>225</v>
      </c>
      <c r="E2597" s="319">
        <v>300000</v>
      </c>
      <c r="F2597" s="540">
        <f t="shared" ref="F2597:G2597" si="1967">E2597*1.1</f>
        <v>330000</v>
      </c>
      <c r="G2597" s="540">
        <f t="shared" si="1967"/>
        <v>363000.00000000006</v>
      </c>
      <c r="H2597" s="132"/>
    </row>
    <row r="2598" spans="1:8" s="289" customFormat="1" ht="15.75" outlineLevel="3">
      <c r="A2598" s="598"/>
      <c r="B2598" s="598"/>
      <c r="C2598" s="448">
        <v>2220105</v>
      </c>
      <c r="D2598" s="449" t="s">
        <v>64</v>
      </c>
      <c r="E2598" s="319">
        <v>350000</v>
      </c>
      <c r="F2598" s="540">
        <f t="shared" ref="F2598:G2598" si="1968">E2598*1.1</f>
        <v>385000.00000000006</v>
      </c>
      <c r="G2598" s="540">
        <f t="shared" si="1968"/>
        <v>423500.00000000012</v>
      </c>
      <c r="H2598" s="132"/>
    </row>
    <row r="2599" spans="1:8" s="289" customFormat="1" ht="15.75" outlineLevel="2">
      <c r="A2599" s="596"/>
      <c r="B2599" s="596"/>
      <c r="C2599" s="444" t="s">
        <v>734</v>
      </c>
      <c r="D2599" s="599"/>
      <c r="E2599" s="597">
        <f>E2596+E2592+E2589+E2587+E2584+E2579+E2577+E2574</f>
        <v>19675880</v>
      </c>
      <c r="F2599" s="540">
        <f t="shared" ref="F2599:G2599" si="1969">E2599*1.1</f>
        <v>21643468</v>
      </c>
      <c r="G2599" s="540">
        <f t="shared" si="1969"/>
        <v>23807814.800000001</v>
      </c>
      <c r="H2599" s="132"/>
    </row>
    <row r="2600" spans="1:8" s="289" customFormat="1" ht="15.75" outlineLevel="2">
      <c r="A2600" s="596"/>
      <c r="B2600" s="596"/>
      <c r="C2600" s="444"/>
      <c r="D2600" s="602"/>
      <c r="E2600" s="319"/>
      <c r="F2600" s="540">
        <f t="shared" ref="F2600:G2600" si="1970">E2600*1.1</f>
        <v>0</v>
      </c>
      <c r="G2600" s="540">
        <f t="shared" si="1970"/>
        <v>0</v>
      </c>
      <c r="H2600" s="132"/>
    </row>
    <row r="2601" spans="1:8" s="289" customFormat="1" ht="15.75" outlineLevel="2">
      <c r="A2601" s="596"/>
      <c r="B2601" s="596"/>
      <c r="C2601" s="444"/>
      <c r="D2601" s="602" t="s">
        <v>184</v>
      </c>
      <c r="E2601" s="319"/>
      <c r="F2601" s="540">
        <f t="shared" ref="F2601:G2601" si="1971">E2601*1.1</f>
        <v>0</v>
      </c>
      <c r="G2601" s="540">
        <f t="shared" si="1971"/>
        <v>0</v>
      </c>
      <c r="H2601" s="132"/>
    </row>
    <row r="2602" spans="1:8" s="300" customFormat="1" ht="30" outlineLevel="3">
      <c r="A2602" s="596"/>
      <c r="B2602" s="596"/>
      <c r="C2602" s="603">
        <v>2630200</v>
      </c>
      <c r="D2602" s="492" t="s">
        <v>744</v>
      </c>
      <c r="E2602" s="597">
        <f>E2603+E2604</f>
        <v>277443765</v>
      </c>
      <c r="F2602" s="540">
        <f t="shared" ref="F2602:G2602" si="1972">E2602*1.1</f>
        <v>305188141.5</v>
      </c>
      <c r="G2602" s="540">
        <f t="shared" si="1972"/>
        <v>335706955.65000004</v>
      </c>
      <c r="H2602" s="132"/>
    </row>
    <row r="2603" spans="1:8" s="289" customFormat="1" ht="45" outlineLevel="3">
      <c r="A2603" s="598"/>
      <c r="B2603" s="598"/>
      <c r="C2603" s="604">
        <v>2630203</v>
      </c>
      <c r="D2603" s="557" t="s">
        <v>745</v>
      </c>
      <c r="E2603" s="319">
        <v>75570509</v>
      </c>
      <c r="F2603" s="540">
        <f t="shared" ref="F2603:G2603" si="1973">E2603*1.1</f>
        <v>83127559.900000006</v>
      </c>
      <c r="G2603" s="540">
        <f t="shared" si="1973"/>
        <v>91440315.890000015</v>
      </c>
      <c r="H2603" s="132"/>
    </row>
    <row r="2604" spans="1:8" s="300" customFormat="1" ht="45" outlineLevel="3">
      <c r="A2604" s="596"/>
      <c r="B2604" s="596"/>
      <c r="C2604" s="604">
        <v>2630203</v>
      </c>
      <c r="D2604" s="605" t="s">
        <v>746</v>
      </c>
      <c r="E2604" s="319">
        <v>201873256</v>
      </c>
      <c r="F2604" s="540">
        <f t="shared" ref="F2604:G2604" si="1974">E2604*1.1</f>
        <v>222060581.60000002</v>
      </c>
      <c r="G2604" s="540">
        <f t="shared" si="1974"/>
        <v>244266639.76000005</v>
      </c>
      <c r="H2604" s="132"/>
    </row>
    <row r="2605" spans="1:8" s="289" customFormat="1" ht="15.75" outlineLevel="2">
      <c r="A2605" s="596"/>
      <c r="B2605" s="596"/>
      <c r="C2605" s="443" t="s">
        <v>201</v>
      </c>
      <c r="D2605" s="492"/>
      <c r="E2605" s="597">
        <f>E2602</f>
        <v>277443765</v>
      </c>
      <c r="F2605" s="540">
        <f t="shared" ref="F2605:G2605" si="1975">E2605*1.1</f>
        <v>305188141.5</v>
      </c>
      <c r="G2605" s="540">
        <f t="shared" si="1975"/>
        <v>335706955.65000004</v>
      </c>
      <c r="H2605" s="132"/>
    </row>
    <row r="2606" spans="1:8" s="300" customFormat="1" ht="15.75" outlineLevel="1">
      <c r="A2606" s="596"/>
      <c r="B2606" s="596"/>
      <c r="C2606" s="443" t="s">
        <v>80</v>
      </c>
      <c r="D2606" s="492"/>
      <c r="E2606" s="597">
        <f>E2605+E2599</f>
        <v>297119645</v>
      </c>
      <c r="F2606" s="540">
        <f t="shared" ref="F2606:G2606" si="1976">E2606*1.1</f>
        <v>326831609.5</v>
      </c>
      <c r="G2606" s="540">
        <f t="shared" si="1976"/>
        <v>359514770.45000005</v>
      </c>
      <c r="H2606" s="132"/>
    </row>
    <row r="2607" spans="1:8" s="289" customFormat="1" ht="15.75" outlineLevel="1">
      <c r="A2607" s="596"/>
      <c r="B2607" s="596"/>
      <c r="C2607" s="601"/>
      <c r="D2607" s="492"/>
      <c r="E2607" s="319"/>
      <c r="F2607" s="540">
        <f t="shared" ref="F2607:G2607" si="1977">E2607*1.1</f>
        <v>0</v>
      </c>
      <c r="G2607" s="540">
        <f t="shared" si="1977"/>
        <v>0</v>
      </c>
      <c r="H2607" s="132"/>
    </row>
    <row r="2608" spans="1:8" s="289" customFormat="1" ht="15.75" outlineLevel="1">
      <c r="A2608" s="596" t="s">
        <v>233</v>
      </c>
      <c r="B2608" s="596"/>
      <c r="C2608" s="443" t="s">
        <v>747</v>
      </c>
      <c r="D2608" s="492"/>
      <c r="E2608" s="319"/>
      <c r="F2608" s="540">
        <f t="shared" ref="F2608:G2608" si="1978">E2608*1.1</f>
        <v>0</v>
      </c>
      <c r="G2608" s="540">
        <f t="shared" si="1978"/>
        <v>0</v>
      </c>
      <c r="H2608" s="132"/>
    </row>
    <row r="2609" spans="1:8" s="289" customFormat="1" ht="15.75" outlineLevel="1">
      <c r="A2609" s="596"/>
      <c r="B2609" s="600" t="s">
        <v>98</v>
      </c>
      <c r="C2609" s="443" t="s">
        <v>748</v>
      </c>
      <c r="D2609" s="328"/>
      <c r="E2609" s="319"/>
      <c r="F2609" s="540">
        <f t="shared" ref="F2609:G2609" si="1979">E2609*1.1</f>
        <v>0</v>
      </c>
      <c r="G2609" s="540">
        <f t="shared" si="1979"/>
        <v>0</v>
      </c>
      <c r="H2609" s="132"/>
    </row>
    <row r="2610" spans="1:8" s="300" customFormat="1" ht="15.75" outlineLevel="3">
      <c r="A2610" s="596"/>
      <c r="B2610" s="600"/>
      <c r="C2610" s="444">
        <v>2210100</v>
      </c>
      <c r="D2610" s="445" t="s">
        <v>16</v>
      </c>
      <c r="E2610" s="597">
        <f>E2611</f>
        <v>40000</v>
      </c>
      <c r="F2610" s="540">
        <f t="shared" ref="F2610:G2610" si="1980">E2610*1.1</f>
        <v>44000</v>
      </c>
      <c r="G2610" s="540">
        <f t="shared" si="1980"/>
        <v>48400.000000000007</v>
      </c>
      <c r="H2610" s="132"/>
    </row>
    <row r="2611" spans="1:8" s="289" customFormat="1" ht="15.75" outlineLevel="3">
      <c r="A2611" s="596"/>
      <c r="B2611" s="600"/>
      <c r="C2611" s="448">
        <v>2210102</v>
      </c>
      <c r="D2611" s="449" t="s">
        <v>18</v>
      </c>
      <c r="E2611" s="319">
        <v>40000</v>
      </c>
      <c r="F2611" s="540">
        <f t="shared" ref="F2611:G2611" si="1981">E2611*1.1</f>
        <v>44000</v>
      </c>
      <c r="G2611" s="540">
        <f t="shared" si="1981"/>
        <v>48400.000000000007</v>
      </c>
      <c r="H2611" s="132"/>
    </row>
    <row r="2612" spans="1:8" s="300" customFormat="1" ht="30" outlineLevel="3">
      <c r="A2612" s="596"/>
      <c r="B2612" s="596"/>
      <c r="C2612" s="443">
        <v>2210300</v>
      </c>
      <c r="D2612" s="445" t="s">
        <v>23</v>
      </c>
      <c r="E2612" s="597">
        <f>E2613+E2614+E2615</f>
        <v>924279</v>
      </c>
      <c r="F2612" s="540">
        <f t="shared" ref="F2612:G2612" si="1982">E2612*1.1</f>
        <v>1016706.9000000001</v>
      </c>
      <c r="G2612" s="540">
        <f t="shared" si="1982"/>
        <v>1118377.5900000003</v>
      </c>
      <c r="H2612" s="132"/>
    </row>
    <row r="2613" spans="1:8" s="289" customFormat="1" ht="15.75" outlineLevel="3">
      <c r="A2613" s="598"/>
      <c r="B2613" s="598"/>
      <c r="C2613" s="437">
        <v>2210301</v>
      </c>
      <c r="D2613" s="449" t="s">
        <v>208</v>
      </c>
      <c r="E2613" s="319">
        <v>300280</v>
      </c>
      <c r="F2613" s="540">
        <f t="shared" ref="F2613:G2613" si="1983">E2613*1.1</f>
        <v>330308</v>
      </c>
      <c r="G2613" s="540">
        <f t="shared" si="1983"/>
        <v>363338.80000000005</v>
      </c>
      <c r="H2613" s="132"/>
    </row>
    <row r="2614" spans="1:8" s="300" customFormat="1" ht="15.75" outlineLevel="3">
      <c r="A2614" s="598"/>
      <c r="B2614" s="598"/>
      <c r="C2614" s="437">
        <v>2210302</v>
      </c>
      <c r="D2614" s="449" t="s">
        <v>25</v>
      </c>
      <c r="E2614" s="319">
        <v>318143</v>
      </c>
      <c r="F2614" s="540">
        <f t="shared" ref="F2614:G2614" si="1984">E2614*1.1</f>
        <v>349957.30000000005</v>
      </c>
      <c r="G2614" s="540">
        <f t="shared" si="1984"/>
        <v>384953.03000000009</v>
      </c>
      <c r="H2614" s="132"/>
    </row>
    <row r="2615" spans="1:8" s="289" customFormat="1" ht="15.75" outlineLevel="3">
      <c r="A2615" s="598"/>
      <c r="B2615" s="598"/>
      <c r="C2615" s="437">
        <v>2210303</v>
      </c>
      <c r="D2615" s="449" t="s">
        <v>26</v>
      </c>
      <c r="E2615" s="319">
        <v>305856</v>
      </c>
      <c r="F2615" s="540">
        <f t="shared" ref="F2615:G2615" si="1985">E2615*1.1</f>
        <v>336441.60000000003</v>
      </c>
      <c r="G2615" s="540">
        <f t="shared" si="1985"/>
        <v>370085.76000000007</v>
      </c>
      <c r="H2615" s="132"/>
    </row>
    <row r="2616" spans="1:8" s="300" customFormat="1" ht="15.75" outlineLevel="3">
      <c r="A2616" s="596"/>
      <c r="B2616" s="596"/>
      <c r="C2616" s="444">
        <v>2210500</v>
      </c>
      <c r="D2616" s="445" t="s">
        <v>30</v>
      </c>
      <c r="E2616" s="597">
        <f>E2617</f>
        <v>256000</v>
      </c>
      <c r="F2616" s="540">
        <f t="shared" ref="F2616:G2616" si="1986">E2616*1.1</f>
        <v>281600</v>
      </c>
      <c r="G2616" s="540">
        <f t="shared" si="1986"/>
        <v>309760</v>
      </c>
      <c r="H2616" s="132"/>
    </row>
    <row r="2617" spans="1:8" s="289" customFormat="1" ht="15.75" outlineLevel="3">
      <c r="A2617" s="598"/>
      <c r="B2617" s="598"/>
      <c r="C2617" s="448">
        <v>2210505</v>
      </c>
      <c r="D2617" s="449" t="s">
        <v>213</v>
      </c>
      <c r="E2617" s="319">
        <v>256000</v>
      </c>
      <c r="F2617" s="540">
        <f t="shared" ref="F2617:G2617" si="1987">E2617*1.1</f>
        <v>281600</v>
      </c>
      <c r="G2617" s="540">
        <f t="shared" si="1987"/>
        <v>309760</v>
      </c>
      <c r="H2617" s="132"/>
    </row>
    <row r="2618" spans="1:8" s="300" customFormat="1" ht="15.75" outlineLevel="3">
      <c r="A2618" s="596"/>
      <c r="B2618" s="596"/>
      <c r="C2618" s="444">
        <v>2210600</v>
      </c>
      <c r="D2618" s="445" t="s">
        <v>163</v>
      </c>
      <c r="E2618" s="597">
        <f>E2619</f>
        <v>223900</v>
      </c>
      <c r="F2618" s="540">
        <f t="shared" ref="F2618:G2618" si="1988">E2618*1.1</f>
        <v>246290.00000000003</v>
      </c>
      <c r="G2618" s="540">
        <f t="shared" si="1988"/>
        <v>270919.00000000006</v>
      </c>
      <c r="H2618" s="132"/>
    </row>
    <row r="2619" spans="1:8" s="289" customFormat="1" ht="15.75" outlineLevel="3">
      <c r="A2619" s="598"/>
      <c r="B2619" s="598"/>
      <c r="C2619" s="448">
        <v>2210606</v>
      </c>
      <c r="D2619" s="449" t="s">
        <v>732</v>
      </c>
      <c r="E2619" s="319">
        <v>223900</v>
      </c>
      <c r="F2619" s="540">
        <f t="shared" ref="F2619:G2619" si="1989">E2619*1.1</f>
        <v>246290.00000000003</v>
      </c>
      <c r="G2619" s="540">
        <f t="shared" si="1989"/>
        <v>270919.00000000006</v>
      </c>
      <c r="H2619" s="132"/>
    </row>
    <row r="2620" spans="1:8" s="300" customFormat="1" ht="15.75" outlineLevel="3">
      <c r="A2620" s="596"/>
      <c r="B2620" s="596"/>
      <c r="C2620" s="444">
        <v>2210800</v>
      </c>
      <c r="D2620" s="445" t="s">
        <v>41</v>
      </c>
      <c r="E2620" s="597">
        <f>E2621</f>
        <v>100000</v>
      </c>
      <c r="F2620" s="540">
        <f t="shared" ref="F2620:G2620" si="1990">E2620*1.1</f>
        <v>110000.00000000001</v>
      </c>
      <c r="G2620" s="540">
        <f t="shared" si="1990"/>
        <v>121000.00000000003</v>
      </c>
      <c r="H2620" s="132"/>
    </row>
    <row r="2621" spans="1:8" s="289" customFormat="1" ht="15.75" outlineLevel="3">
      <c r="A2621" s="598"/>
      <c r="B2621" s="598"/>
      <c r="C2621" s="437">
        <v>2210805</v>
      </c>
      <c r="D2621" s="494" t="s">
        <v>749</v>
      </c>
      <c r="E2621" s="319">
        <v>100000</v>
      </c>
      <c r="F2621" s="540">
        <f t="shared" ref="F2621:G2621" si="1991">E2621*1.1</f>
        <v>110000.00000000001</v>
      </c>
      <c r="G2621" s="540">
        <f t="shared" si="1991"/>
        <v>121000.00000000003</v>
      </c>
      <c r="H2621" s="132"/>
    </row>
    <row r="2622" spans="1:8" s="300" customFormat="1" ht="15.75" outlineLevel="3">
      <c r="A2622" s="596"/>
      <c r="B2622" s="596"/>
      <c r="C2622" s="444">
        <v>2211000</v>
      </c>
      <c r="D2622" s="445" t="s">
        <v>173</v>
      </c>
      <c r="E2622" s="597">
        <f>E2623</f>
        <v>220000</v>
      </c>
      <c r="F2622" s="540">
        <f t="shared" ref="F2622:G2622" si="1992">E2622*1.1</f>
        <v>242000.00000000003</v>
      </c>
      <c r="G2622" s="540">
        <f t="shared" si="1992"/>
        <v>266200.00000000006</v>
      </c>
      <c r="H2622" s="132"/>
    </row>
    <row r="2623" spans="1:8" s="300" customFormat="1" ht="15.75" outlineLevel="3">
      <c r="A2623" s="598"/>
      <c r="B2623" s="598"/>
      <c r="C2623" s="448">
        <v>2211016</v>
      </c>
      <c r="D2623" s="449" t="s">
        <v>219</v>
      </c>
      <c r="E2623" s="319">
        <v>220000</v>
      </c>
      <c r="F2623" s="540">
        <f t="shared" ref="F2623:G2623" si="1993">E2623*1.1</f>
        <v>242000.00000000003</v>
      </c>
      <c r="G2623" s="540">
        <f t="shared" si="1993"/>
        <v>266200.00000000006</v>
      </c>
      <c r="H2623" s="132"/>
    </row>
    <row r="2624" spans="1:8" s="289" customFormat="1" ht="15.75" outlineLevel="3">
      <c r="A2624" s="596"/>
      <c r="B2624" s="596"/>
      <c r="C2624" s="443">
        <v>2211000</v>
      </c>
      <c r="D2624" s="445" t="s">
        <v>173</v>
      </c>
      <c r="E2624" s="597">
        <f>E2625+E2626</f>
        <v>154000</v>
      </c>
      <c r="F2624" s="540">
        <f t="shared" ref="F2624:G2624" si="1994">E2624*1.1</f>
        <v>169400</v>
      </c>
      <c r="G2624" s="540">
        <f t="shared" si="1994"/>
        <v>186340.00000000003</v>
      </c>
      <c r="H2624" s="132"/>
    </row>
    <row r="2625" spans="1:8" s="289" customFormat="1" ht="15.75" outlineLevel="3">
      <c r="A2625" s="598"/>
      <c r="B2625" s="598"/>
      <c r="C2625" s="437">
        <v>2211004</v>
      </c>
      <c r="D2625" s="449" t="s">
        <v>750</v>
      </c>
      <c r="E2625" s="319">
        <v>96000</v>
      </c>
      <c r="F2625" s="540">
        <f t="shared" ref="F2625:G2625" si="1995">E2625*1.1</f>
        <v>105600.00000000001</v>
      </c>
      <c r="G2625" s="540">
        <f t="shared" si="1995"/>
        <v>116160.00000000003</v>
      </c>
      <c r="H2625" s="132"/>
    </row>
    <row r="2626" spans="1:8" s="301" customFormat="1" ht="15.75" outlineLevel="3">
      <c r="A2626" s="598"/>
      <c r="B2626" s="598"/>
      <c r="C2626" s="437">
        <v>2211007</v>
      </c>
      <c r="D2626" s="449" t="s">
        <v>367</v>
      </c>
      <c r="E2626" s="319">
        <v>58000</v>
      </c>
      <c r="F2626" s="540">
        <f t="shared" ref="F2626:G2626" si="1996">E2626*1.1</f>
        <v>63800.000000000007</v>
      </c>
      <c r="G2626" s="540">
        <f t="shared" si="1996"/>
        <v>70180.000000000015</v>
      </c>
      <c r="H2626" s="132"/>
    </row>
    <row r="2627" spans="1:8" ht="15.75" outlineLevel="2">
      <c r="A2627" s="596"/>
      <c r="B2627" s="596"/>
      <c r="C2627" s="444" t="s">
        <v>734</v>
      </c>
      <c r="D2627" s="599"/>
      <c r="E2627" s="597">
        <f>E2610+E2612+E2616+E2618+E2622+E2624+E2620</f>
        <v>1918179</v>
      </c>
      <c r="F2627" s="540">
        <f t="shared" ref="F2627:G2627" si="1997">E2627*1.1</f>
        <v>2109996.9000000004</v>
      </c>
      <c r="G2627" s="540">
        <f t="shared" si="1997"/>
        <v>2320996.5900000008</v>
      </c>
    </row>
    <row r="2628" spans="1:8" s="300" customFormat="1" ht="15.75" outlineLevel="2">
      <c r="A2628" s="596"/>
      <c r="B2628" s="596"/>
      <c r="C2628" s="444"/>
      <c r="D2628" s="602"/>
      <c r="E2628" s="319"/>
      <c r="F2628" s="540">
        <f t="shared" ref="F2628:G2628" si="1998">E2628*1.1</f>
        <v>0</v>
      </c>
      <c r="G2628" s="540">
        <f t="shared" si="1998"/>
        <v>0</v>
      </c>
      <c r="H2628" s="132"/>
    </row>
    <row r="2629" spans="1:8" s="300" customFormat="1" ht="15.75" outlineLevel="2">
      <c r="A2629" s="596"/>
      <c r="B2629" s="596"/>
      <c r="C2629" s="444"/>
      <c r="D2629" s="602" t="s">
        <v>184</v>
      </c>
      <c r="E2629" s="319"/>
      <c r="F2629" s="540">
        <f t="shared" ref="F2629:G2629" si="1999">E2629*1.1</f>
        <v>0</v>
      </c>
      <c r="G2629" s="540">
        <f t="shared" si="1999"/>
        <v>0</v>
      </c>
      <c r="H2629" s="132"/>
    </row>
    <row r="2630" spans="1:8" s="300" customFormat="1" ht="30" outlineLevel="3">
      <c r="A2630" s="596"/>
      <c r="B2630" s="596"/>
      <c r="C2630" s="603">
        <v>2630200</v>
      </c>
      <c r="D2630" s="492" t="s">
        <v>744</v>
      </c>
      <c r="E2630" s="319">
        <f>E2631</f>
        <v>0</v>
      </c>
      <c r="F2630" s="540">
        <f t="shared" ref="F2630:G2630" si="2000">E2630*1.1</f>
        <v>0</v>
      </c>
      <c r="G2630" s="540">
        <f t="shared" si="2000"/>
        <v>0</v>
      </c>
      <c r="H2630" s="132"/>
    </row>
    <row r="2631" spans="1:8" s="289" customFormat="1" ht="15.75" outlineLevel="3">
      <c r="A2631" s="598"/>
      <c r="B2631" s="598"/>
      <c r="C2631" s="604">
        <v>2630203</v>
      </c>
      <c r="D2631" s="606" t="s">
        <v>751</v>
      </c>
      <c r="E2631" s="319"/>
      <c r="F2631" s="540">
        <f t="shared" ref="F2631:G2631" si="2001">E2631*1.1</f>
        <v>0</v>
      </c>
      <c r="G2631" s="540">
        <f t="shared" si="2001"/>
        <v>0</v>
      </c>
      <c r="H2631" s="132"/>
    </row>
    <row r="2632" spans="1:8" s="289" customFormat="1" ht="15.75" outlineLevel="3">
      <c r="A2632" s="596"/>
      <c r="B2632" s="596"/>
      <c r="C2632" s="443">
        <v>3111300</v>
      </c>
      <c r="D2632" s="492" t="s">
        <v>752</v>
      </c>
      <c r="E2632" s="499">
        <f>E2633</f>
        <v>8500000</v>
      </c>
      <c r="F2632" s="540">
        <f t="shared" ref="F2632:G2632" si="2002">E2632*1.1</f>
        <v>9350000</v>
      </c>
      <c r="G2632" s="540">
        <f t="shared" si="2002"/>
        <v>10285000</v>
      </c>
      <c r="H2632" s="132"/>
    </row>
    <row r="2633" spans="1:8" s="289" customFormat="1" ht="15.75" outlineLevel="3">
      <c r="A2633" s="596"/>
      <c r="B2633" s="596"/>
      <c r="C2633" s="437">
        <v>3111305</v>
      </c>
      <c r="D2633" s="494" t="s">
        <v>753</v>
      </c>
      <c r="E2633" s="501">
        <v>8500000</v>
      </c>
      <c r="F2633" s="540">
        <f t="shared" ref="F2633:G2633" si="2003">E2633*1.1</f>
        <v>9350000</v>
      </c>
      <c r="G2633" s="540">
        <f t="shared" si="2003"/>
        <v>10285000</v>
      </c>
      <c r="H2633" s="132"/>
    </row>
    <row r="2634" spans="1:8" s="289" customFormat="1" ht="15.75" outlineLevel="2">
      <c r="A2634" s="596"/>
      <c r="B2634" s="596"/>
      <c r="C2634" s="443" t="s">
        <v>201</v>
      </c>
      <c r="D2634" s="492"/>
      <c r="E2634" s="597">
        <f>E2632+E2630</f>
        <v>8500000</v>
      </c>
      <c r="F2634" s="540">
        <f t="shared" ref="F2634:G2634" si="2004">E2634*1.1</f>
        <v>9350000</v>
      </c>
      <c r="G2634" s="540">
        <f t="shared" si="2004"/>
        <v>10285000</v>
      </c>
      <c r="H2634" s="132"/>
    </row>
    <row r="2635" spans="1:8" s="289" customFormat="1" ht="15.75" outlineLevel="1">
      <c r="A2635" s="596"/>
      <c r="B2635" s="596"/>
      <c r="C2635" s="443" t="s">
        <v>80</v>
      </c>
      <c r="D2635" s="492"/>
      <c r="E2635" s="597">
        <f>E2634+E2627</f>
        <v>10418179</v>
      </c>
      <c r="F2635" s="540">
        <f t="shared" ref="F2635:G2635" si="2005">E2635*1.1</f>
        <v>11459996.9</v>
      </c>
      <c r="G2635" s="540">
        <f t="shared" si="2005"/>
        <v>12605996.590000002</v>
      </c>
      <c r="H2635" s="132"/>
    </row>
    <row r="2636" spans="1:8" s="300" customFormat="1" ht="15.75" outlineLevel="1">
      <c r="A2636" s="596"/>
      <c r="B2636" s="596"/>
      <c r="C2636" s="443"/>
      <c r="D2636" s="492"/>
      <c r="E2636" s="319"/>
      <c r="F2636" s="540">
        <f t="shared" ref="F2636:G2636" si="2006">E2636*1.1</f>
        <v>0</v>
      </c>
      <c r="G2636" s="540">
        <f t="shared" si="2006"/>
        <v>0</v>
      </c>
      <c r="H2636" s="132"/>
    </row>
    <row r="2637" spans="1:8" s="289" customFormat="1" ht="15.75" outlineLevel="1">
      <c r="A2637" s="596"/>
      <c r="B2637" s="596"/>
      <c r="C2637" s="443"/>
      <c r="D2637" s="492"/>
      <c r="E2637" s="319"/>
      <c r="F2637" s="540">
        <f t="shared" ref="F2637:G2637" si="2007">E2637*1.1</f>
        <v>0</v>
      </c>
      <c r="G2637" s="540">
        <f t="shared" si="2007"/>
        <v>0</v>
      </c>
      <c r="H2637" s="132"/>
    </row>
    <row r="2638" spans="1:8" s="289" customFormat="1" ht="15.75" outlineLevel="1">
      <c r="A2638" s="596" t="s">
        <v>233</v>
      </c>
      <c r="B2638" s="596"/>
      <c r="C2638" s="443" t="s">
        <v>754</v>
      </c>
      <c r="D2638" s="492"/>
      <c r="E2638" s="319"/>
      <c r="F2638" s="540">
        <f t="shared" ref="F2638:G2638" si="2008">E2638*1.1</f>
        <v>0</v>
      </c>
      <c r="G2638" s="540">
        <f t="shared" si="2008"/>
        <v>0</v>
      </c>
      <c r="H2638" s="132"/>
    </row>
    <row r="2639" spans="1:8" s="289" customFormat="1" ht="15.75" outlineLevel="2">
      <c r="A2639" s="596"/>
      <c r="B2639" s="600" t="s">
        <v>98</v>
      </c>
      <c r="C2639" s="443" t="s">
        <v>755</v>
      </c>
      <c r="D2639" s="492"/>
      <c r="E2639" s="319"/>
      <c r="F2639" s="540">
        <f t="shared" ref="F2639:G2639" si="2009">E2639*1.1</f>
        <v>0</v>
      </c>
      <c r="G2639" s="540">
        <f t="shared" si="2009"/>
        <v>0</v>
      </c>
      <c r="H2639" s="132"/>
    </row>
    <row r="2640" spans="1:8" s="300" customFormat="1" ht="30" outlineLevel="2">
      <c r="A2640" s="596"/>
      <c r="B2640" s="596"/>
      <c r="C2640" s="443">
        <v>2210300</v>
      </c>
      <c r="D2640" s="445" t="s">
        <v>23</v>
      </c>
      <c r="E2640" s="597">
        <f>E2641+E2642+E2643</f>
        <v>729830</v>
      </c>
      <c r="F2640" s="540">
        <f t="shared" ref="F2640:G2640" si="2010">E2640*1.1</f>
        <v>802813.00000000012</v>
      </c>
      <c r="G2640" s="540">
        <f t="shared" si="2010"/>
        <v>883094.30000000016</v>
      </c>
      <c r="H2640" s="132"/>
    </row>
    <row r="2641" spans="1:8" s="289" customFormat="1" ht="15.75" outlineLevel="2">
      <c r="A2641" s="598"/>
      <c r="B2641" s="598"/>
      <c r="C2641" s="437">
        <v>2210301</v>
      </c>
      <c r="D2641" s="449" t="s">
        <v>208</v>
      </c>
      <c r="E2641" s="319">
        <v>200980</v>
      </c>
      <c r="F2641" s="540">
        <f t="shared" ref="F2641:G2641" si="2011">E2641*1.1</f>
        <v>221078.00000000003</v>
      </c>
      <c r="G2641" s="540">
        <f t="shared" si="2011"/>
        <v>243185.80000000005</v>
      </c>
      <c r="H2641" s="132"/>
    </row>
    <row r="2642" spans="1:8" s="300" customFormat="1" ht="15.75" outlineLevel="2">
      <c r="A2642" s="598"/>
      <c r="B2642" s="598"/>
      <c r="C2642" s="437">
        <v>2210302</v>
      </c>
      <c r="D2642" s="449" t="s">
        <v>25</v>
      </c>
      <c r="E2642" s="319">
        <v>218200</v>
      </c>
      <c r="F2642" s="540">
        <f t="shared" ref="F2642:G2642" si="2012">E2642*1.1</f>
        <v>240020.00000000003</v>
      </c>
      <c r="G2642" s="540">
        <f t="shared" si="2012"/>
        <v>264022.00000000006</v>
      </c>
      <c r="H2642" s="132"/>
    </row>
    <row r="2643" spans="1:8" s="289" customFormat="1" ht="15.75" outlineLevel="2">
      <c r="A2643" s="598"/>
      <c r="B2643" s="598"/>
      <c r="C2643" s="437">
        <v>2210303</v>
      </c>
      <c r="D2643" s="449" t="s">
        <v>26</v>
      </c>
      <c r="E2643" s="319">
        <v>310650</v>
      </c>
      <c r="F2643" s="540">
        <f t="shared" ref="F2643:G2643" si="2013">E2643*1.1</f>
        <v>341715</v>
      </c>
      <c r="G2643" s="540">
        <f t="shared" si="2013"/>
        <v>375886.50000000006</v>
      </c>
      <c r="H2643" s="132"/>
    </row>
    <row r="2644" spans="1:8" s="300" customFormat="1" ht="15.75" outlineLevel="2">
      <c r="A2644" s="596"/>
      <c r="B2644" s="596"/>
      <c r="C2644" s="444">
        <v>2210800</v>
      </c>
      <c r="D2644" s="445" t="s">
        <v>41</v>
      </c>
      <c r="E2644" s="597">
        <f>E2645</f>
        <v>100000</v>
      </c>
      <c r="F2644" s="540">
        <f t="shared" ref="F2644:G2644" si="2014">E2644*1.1</f>
        <v>110000.00000000001</v>
      </c>
      <c r="G2644" s="540">
        <f t="shared" si="2014"/>
        <v>121000.00000000003</v>
      </c>
      <c r="H2644" s="132"/>
    </row>
    <row r="2645" spans="1:8" s="289" customFormat="1" ht="15.75" outlineLevel="2">
      <c r="A2645" s="598"/>
      <c r="B2645" s="598"/>
      <c r="C2645" s="437">
        <v>2210805</v>
      </c>
      <c r="D2645" s="494" t="s">
        <v>756</v>
      </c>
      <c r="E2645" s="319">
        <v>100000</v>
      </c>
      <c r="F2645" s="540">
        <f t="shared" ref="F2645:G2645" si="2015">E2645*1.1</f>
        <v>110000.00000000001</v>
      </c>
      <c r="G2645" s="540">
        <f t="shared" si="2015"/>
        <v>121000.00000000003</v>
      </c>
      <c r="H2645" s="132"/>
    </row>
    <row r="2646" spans="1:8" s="300" customFormat="1" ht="15.75" outlineLevel="2">
      <c r="A2646" s="596"/>
      <c r="B2646" s="596"/>
      <c r="C2646" s="444">
        <v>2211100</v>
      </c>
      <c r="D2646" s="445" t="s">
        <v>49</v>
      </c>
      <c r="E2646" s="597">
        <f>E2647+E2648</f>
        <v>284942</v>
      </c>
      <c r="F2646" s="540">
        <f t="shared" ref="F2646:G2646" si="2016">E2646*1.1</f>
        <v>313436.2</v>
      </c>
      <c r="G2646" s="540">
        <f t="shared" si="2016"/>
        <v>344779.82000000007</v>
      </c>
      <c r="H2646" s="132"/>
    </row>
    <row r="2647" spans="1:8" s="289" customFormat="1" ht="30" outlineLevel="2">
      <c r="A2647" s="598"/>
      <c r="B2647" s="598"/>
      <c r="C2647" s="448">
        <v>2211101</v>
      </c>
      <c r="D2647" s="494" t="s">
        <v>220</v>
      </c>
      <c r="E2647" s="319">
        <v>182272</v>
      </c>
      <c r="F2647" s="540">
        <f t="shared" ref="F2647:G2647" si="2017">E2647*1.1</f>
        <v>200499.20000000001</v>
      </c>
      <c r="G2647" s="540">
        <f t="shared" si="2017"/>
        <v>220549.12000000002</v>
      </c>
      <c r="H2647" s="132"/>
    </row>
    <row r="2648" spans="1:8" s="300" customFormat="1" ht="15.75" outlineLevel="2">
      <c r="A2648" s="598"/>
      <c r="B2648" s="598"/>
      <c r="C2648" s="448">
        <v>2211102</v>
      </c>
      <c r="D2648" s="449" t="s">
        <v>51</v>
      </c>
      <c r="E2648" s="319">
        <v>102670</v>
      </c>
      <c r="F2648" s="540">
        <f t="shared" ref="F2648:G2648" si="2018">E2648*1.1</f>
        <v>112937.00000000001</v>
      </c>
      <c r="G2648" s="540">
        <f t="shared" si="2018"/>
        <v>124230.70000000003</v>
      </c>
      <c r="H2648" s="132"/>
    </row>
    <row r="2649" spans="1:8" s="300" customFormat="1" ht="15.75" outlineLevel="2">
      <c r="A2649" s="596"/>
      <c r="B2649" s="596"/>
      <c r="C2649" s="443">
        <v>3111000</v>
      </c>
      <c r="D2649" s="445" t="s">
        <v>65</v>
      </c>
      <c r="E2649" s="597">
        <f>E2650</f>
        <v>267413</v>
      </c>
      <c r="F2649" s="540">
        <f t="shared" ref="F2649:G2649" si="2019">E2649*1.1</f>
        <v>294154.30000000005</v>
      </c>
      <c r="G2649" s="540">
        <f t="shared" si="2019"/>
        <v>323569.7300000001</v>
      </c>
      <c r="H2649" s="132"/>
    </row>
    <row r="2650" spans="1:8" s="300" customFormat="1" ht="15.75" outlineLevel="2">
      <c r="A2650" s="598"/>
      <c r="B2650" s="598"/>
      <c r="C2650" s="448">
        <v>3111002</v>
      </c>
      <c r="D2650" s="449" t="s">
        <v>67</v>
      </c>
      <c r="E2650" s="319">
        <v>267413</v>
      </c>
      <c r="F2650" s="540">
        <f t="shared" ref="F2650:G2650" si="2020">E2650*1.1</f>
        <v>294154.30000000005</v>
      </c>
      <c r="G2650" s="540">
        <f t="shared" si="2020"/>
        <v>323569.7300000001</v>
      </c>
      <c r="H2650" s="132"/>
    </row>
    <row r="2651" spans="1:8" s="300" customFormat="1" ht="15.75" outlineLevel="1">
      <c r="A2651" s="596"/>
      <c r="B2651" s="596"/>
      <c r="C2651" s="444" t="s">
        <v>734</v>
      </c>
      <c r="D2651" s="599"/>
      <c r="E2651" s="597">
        <f>E2649+E2646+E2640+E2644</f>
        <v>1382185</v>
      </c>
      <c r="F2651" s="540">
        <f t="shared" ref="F2651:G2651" si="2021">E2651*1.1</f>
        <v>1520403.5000000002</v>
      </c>
      <c r="G2651" s="540">
        <f t="shared" si="2021"/>
        <v>1672443.8500000003</v>
      </c>
      <c r="H2651" s="132"/>
    </row>
    <row r="2652" spans="1:8" s="289" customFormat="1" ht="15.75" outlineLevel="1">
      <c r="A2652" s="596"/>
      <c r="B2652" s="596"/>
      <c r="C2652" s="443" t="s">
        <v>80</v>
      </c>
      <c r="D2652" s="492"/>
      <c r="E2652" s="597">
        <f>E2651</f>
        <v>1382185</v>
      </c>
      <c r="F2652" s="540">
        <f t="shared" ref="F2652:G2652" si="2022">E2652*1.1</f>
        <v>1520403.5000000002</v>
      </c>
      <c r="G2652" s="540">
        <f t="shared" si="2022"/>
        <v>1672443.8500000003</v>
      </c>
      <c r="H2652" s="132"/>
    </row>
    <row r="2653" spans="1:8" s="289" customFormat="1" ht="15.75" outlineLevel="1">
      <c r="A2653" s="596"/>
      <c r="B2653" s="596"/>
      <c r="C2653" s="443"/>
      <c r="D2653" s="492"/>
      <c r="E2653" s="597"/>
      <c r="F2653" s="540">
        <f t="shared" ref="F2653:G2653" si="2023">E2653*1.1</f>
        <v>0</v>
      </c>
      <c r="G2653" s="540">
        <f t="shared" si="2023"/>
        <v>0</v>
      </c>
      <c r="H2653" s="132"/>
    </row>
    <row r="2654" spans="1:8" s="300" customFormat="1" ht="15.75" outlineLevel="1">
      <c r="A2654" s="595"/>
      <c r="B2654" s="595" t="s">
        <v>361</v>
      </c>
      <c r="C2654" s="438" t="s">
        <v>757</v>
      </c>
      <c r="D2654" s="487"/>
      <c r="E2654" s="319"/>
      <c r="F2654" s="540">
        <f t="shared" ref="F2654:G2654" si="2024">E2654*1.1</f>
        <v>0</v>
      </c>
      <c r="G2654" s="540">
        <f t="shared" si="2024"/>
        <v>0</v>
      </c>
      <c r="H2654" s="132"/>
    </row>
    <row r="2655" spans="1:8" s="289" customFormat="1" ht="15.75" outlineLevel="1">
      <c r="A2655" s="595"/>
      <c r="B2655" s="595"/>
      <c r="C2655" s="438"/>
      <c r="D2655" s="487"/>
      <c r="E2655" s="319"/>
      <c r="F2655" s="540">
        <f t="shared" ref="F2655:G2655" si="2025">E2655*1.1</f>
        <v>0</v>
      </c>
      <c r="G2655" s="540">
        <f t="shared" si="2025"/>
        <v>0</v>
      </c>
      <c r="H2655" s="132"/>
    </row>
    <row r="2656" spans="1:8" s="289" customFormat="1" ht="15.75" outlineLevel="1">
      <c r="A2656" s="600" t="s">
        <v>430</v>
      </c>
      <c r="B2656" s="596"/>
      <c r="C2656" s="443" t="s">
        <v>758</v>
      </c>
      <c r="D2656" s="328"/>
      <c r="E2656" s="319"/>
      <c r="F2656" s="540">
        <f t="shared" ref="F2656:G2656" si="2026">E2656*1.1</f>
        <v>0</v>
      </c>
      <c r="G2656" s="540">
        <f t="shared" si="2026"/>
        <v>0</v>
      </c>
      <c r="H2656" s="132"/>
    </row>
    <row r="2657" spans="1:8" s="300" customFormat="1" ht="15.75" outlineLevel="1">
      <c r="A2657" s="600"/>
      <c r="B2657" s="600" t="s">
        <v>98</v>
      </c>
      <c r="C2657" s="443" t="s">
        <v>759</v>
      </c>
      <c r="D2657" s="492"/>
      <c r="E2657" s="319"/>
      <c r="F2657" s="540">
        <f t="shared" ref="F2657:G2657" si="2027">E2657*1.1</f>
        <v>0</v>
      </c>
      <c r="G2657" s="540">
        <f t="shared" si="2027"/>
        <v>0</v>
      </c>
      <c r="H2657" s="132"/>
    </row>
    <row r="2658" spans="1:8" s="289" customFormat="1" ht="15.75" outlineLevel="3">
      <c r="A2658" s="600"/>
      <c r="B2658" s="596"/>
      <c r="C2658" s="444">
        <v>2110100</v>
      </c>
      <c r="D2658" s="445" t="s">
        <v>13</v>
      </c>
      <c r="E2658" s="597">
        <f>E2659+E2660</f>
        <v>8706351</v>
      </c>
      <c r="F2658" s="540">
        <f t="shared" ref="F2658:G2658" si="2028">E2658*1.1</f>
        <v>9576986.1000000015</v>
      </c>
      <c r="G2658" s="540">
        <f t="shared" si="2028"/>
        <v>10534684.710000003</v>
      </c>
      <c r="H2658" s="132"/>
    </row>
    <row r="2659" spans="1:8" s="289" customFormat="1" ht="15.75" outlineLevel="3">
      <c r="A2659" s="600"/>
      <c r="B2659" s="598"/>
      <c r="C2659" s="448">
        <v>2110101</v>
      </c>
      <c r="D2659" s="449" t="s">
        <v>14</v>
      </c>
      <c r="E2659" s="319">
        <v>8668351</v>
      </c>
      <c r="F2659" s="540">
        <f t="shared" ref="F2659:G2659" si="2029">E2659*1.1</f>
        <v>9535186.1000000015</v>
      </c>
      <c r="G2659" s="540">
        <f t="shared" si="2029"/>
        <v>10488704.710000003</v>
      </c>
      <c r="H2659" s="132"/>
    </row>
    <row r="2660" spans="1:8" s="289" customFormat="1" ht="15.75" outlineLevel="3">
      <c r="A2660" s="600"/>
      <c r="B2660" s="598"/>
      <c r="C2660" s="448">
        <v>2110120</v>
      </c>
      <c r="D2660" s="449" t="s">
        <v>731</v>
      </c>
      <c r="E2660" s="319">
        <v>38000</v>
      </c>
      <c r="F2660" s="540">
        <f t="shared" ref="F2660:G2660" si="2030">E2660*1.1</f>
        <v>41800</v>
      </c>
      <c r="G2660" s="540">
        <f t="shared" si="2030"/>
        <v>45980.000000000007</v>
      </c>
      <c r="H2660" s="132"/>
    </row>
    <row r="2661" spans="1:8" s="300" customFormat="1" ht="15.75" outlineLevel="3">
      <c r="A2661" s="600"/>
      <c r="B2661" s="596"/>
      <c r="C2661" s="444">
        <v>2210200</v>
      </c>
      <c r="D2661" s="445" t="s">
        <v>19</v>
      </c>
      <c r="E2661" s="597">
        <f>E2662</f>
        <v>762000</v>
      </c>
      <c r="F2661" s="540">
        <f t="shared" ref="F2661:G2661" si="2031">E2661*1.1</f>
        <v>838200.00000000012</v>
      </c>
      <c r="G2661" s="540">
        <f t="shared" si="2031"/>
        <v>922020.00000000023</v>
      </c>
      <c r="H2661" s="132"/>
    </row>
    <row r="2662" spans="1:8" s="289" customFormat="1" ht="15.75" outlineLevel="3">
      <c r="A2662" s="607"/>
      <c r="B2662" s="598"/>
      <c r="C2662" s="448">
        <v>2210201</v>
      </c>
      <c r="D2662" s="449" t="s">
        <v>236</v>
      </c>
      <c r="E2662" s="319">
        <v>762000</v>
      </c>
      <c r="F2662" s="540">
        <f t="shared" ref="F2662:G2662" si="2032">E2662*1.1</f>
        <v>838200.00000000012</v>
      </c>
      <c r="G2662" s="540">
        <f t="shared" si="2032"/>
        <v>922020.00000000023</v>
      </c>
      <c r="H2662" s="132"/>
    </row>
    <row r="2663" spans="1:8" s="300" customFormat="1" ht="30" outlineLevel="3">
      <c r="A2663" s="600"/>
      <c r="B2663" s="596"/>
      <c r="C2663" s="444">
        <v>2210300</v>
      </c>
      <c r="D2663" s="445" t="s">
        <v>23</v>
      </c>
      <c r="E2663" s="597">
        <f>E2664+E2665+E2666+E2667</f>
        <v>2753120</v>
      </c>
      <c r="F2663" s="540">
        <f t="shared" ref="F2663:G2663" si="2033">E2663*1.1</f>
        <v>3028432.0000000005</v>
      </c>
      <c r="G2663" s="540">
        <f t="shared" si="2033"/>
        <v>3331275.2000000007</v>
      </c>
      <c r="H2663" s="132"/>
    </row>
    <row r="2664" spans="1:8" s="289" customFormat="1" ht="15.75" outlineLevel="3">
      <c r="A2664" s="607"/>
      <c r="B2664" s="598"/>
      <c r="C2664" s="448">
        <v>2210301</v>
      </c>
      <c r="D2664" s="449" t="s">
        <v>208</v>
      </c>
      <c r="E2664" s="319">
        <v>881200</v>
      </c>
      <c r="F2664" s="540">
        <f t="shared" ref="F2664:G2664" si="2034">E2664*1.1</f>
        <v>969320.00000000012</v>
      </c>
      <c r="G2664" s="540">
        <f t="shared" si="2034"/>
        <v>1066252.0000000002</v>
      </c>
      <c r="H2664" s="132"/>
    </row>
    <row r="2665" spans="1:8" s="300" customFormat="1" ht="15.75" outlineLevel="3">
      <c r="A2665" s="607"/>
      <c r="B2665" s="598"/>
      <c r="C2665" s="448">
        <v>2210302</v>
      </c>
      <c r="D2665" s="449" t="s">
        <v>25</v>
      </c>
      <c r="E2665" s="319">
        <v>989234</v>
      </c>
      <c r="F2665" s="540">
        <f t="shared" ref="F2665:G2665" si="2035">E2665*1.1</f>
        <v>1088157.4000000001</v>
      </c>
      <c r="G2665" s="540">
        <f t="shared" si="2035"/>
        <v>1196973.1400000004</v>
      </c>
      <c r="H2665" s="132"/>
    </row>
    <row r="2666" spans="1:8" s="289" customFormat="1" ht="15.75" outlineLevel="3">
      <c r="A2666" s="607"/>
      <c r="B2666" s="598"/>
      <c r="C2666" s="448">
        <v>2210303</v>
      </c>
      <c r="D2666" s="449" t="s">
        <v>26</v>
      </c>
      <c r="E2666" s="319">
        <v>702686</v>
      </c>
      <c r="F2666" s="540">
        <f t="shared" ref="F2666:G2666" si="2036">E2666*1.1</f>
        <v>772954.60000000009</v>
      </c>
      <c r="G2666" s="540">
        <f t="shared" si="2036"/>
        <v>850250.06000000017</v>
      </c>
      <c r="H2666" s="132"/>
    </row>
    <row r="2667" spans="1:8" s="289" customFormat="1" ht="15.75" outlineLevel="3">
      <c r="A2667" s="607"/>
      <c r="B2667" s="598"/>
      <c r="C2667" s="448">
        <v>2210304</v>
      </c>
      <c r="D2667" s="449" t="s">
        <v>27</v>
      </c>
      <c r="E2667" s="319">
        <v>180000</v>
      </c>
      <c r="F2667" s="540">
        <f t="shared" ref="F2667:G2667" si="2037">E2667*1.1</f>
        <v>198000.00000000003</v>
      </c>
      <c r="G2667" s="540">
        <f t="shared" si="2037"/>
        <v>217800.00000000006</v>
      </c>
      <c r="H2667" s="132"/>
    </row>
    <row r="2668" spans="1:8" s="300" customFormat="1" ht="15.75" outlineLevel="3">
      <c r="A2668" s="600"/>
      <c r="B2668" s="596"/>
      <c r="C2668" s="444">
        <v>2210500</v>
      </c>
      <c r="D2668" s="445" t="s">
        <v>30</v>
      </c>
      <c r="E2668" s="597">
        <f>E2669</f>
        <v>290000</v>
      </c>
      <c r="F2668" s="540">
        <f t="shared" ref="F2668:G2668" si="2038">E2668*1.1</f>
        <v>319000</v>
      </c>
      <c r="G2668" s="540">
        <f t="shared" si="2038"/>
        <v>350900</v>
      </c>
      <c r="H2668" s="132"/>
    </row>
    <row r="2669" spans="1:8" s="289" customFormat="1" ht="15.75" outlineLevel="3">
      <c r="A2669" s="607"/>
      <c r="B2669" s="598"/>
      <c r="C2669" s="448">
        <v>2210503</v>
      </c>
      <c r="D2669" s="449" t="s">
        <v>31</v>
      </c>
      <c r="E2669" s="319">
        <v>290000</v>
      </c>
      <c r="F2669" s="540">
        <f t="shared" ref="F2669:G2669" si="2039">E2669*1.1</f>
        <v>319000</v>
      </c>
      <c r="G2669" s="540">
        <f t="shared" si="2039"/>
        <v>350900</v>
      </c>
      <c r="H2669" s="132"/>
    </row>
    <row r="2670" spans="1:8" s="300" customFormat="1" ht="15.75" outlineLevel="3">
      <c r="A2670" s="600"/>
      <c r="B2670" s="596"/>
      <c r="C2670" s="444">
        <v>2211200</v>
      </c>
      <c r="D2670" s="445" t="s">
        <v>53</v>
      </c>
      <c r="E2670" s="597">
        <f>E2671</f>
        <v>2049944</v>
      </c>
      <c r="F2670" s="540">
        <f t="shared" ref="F2670:G2670" si="2040">E2670*1.1</f>
        <v>2254938.4000000004</v>
      </c>
      <c r="G2670" s="540">
        <f t="shared" si="2040"/>
        <v>2480432.2400000007</v>
      </c>
      <c r="H2670" s="132"/>
    </row>
    <row r="2671" spans="1:8" s="289" customFormat="1" ht="15.75" outlineLevel="3">
      <c r="A2671" s="607"/>
      <c r="B2671" s="598"/>
      <c r="C2671" s="448">
        <v>2211201</v>
      </c>
      <c r="D2671" s="449" t="s">
        <v>91</v>
      </c>
      <c r="E2671" s="319">
        <v>2049944</v>
      </c>
      <c r="F2671" s="540">
        <f t="shared" ref="F2671:G2671" si="2041">E2671*1.1</f>
        <v>2254938.4000000004</v>
      </c>
      <c r="G2671" s="540">
        <f t="shared" si="2041"/>
        <v>2480432.2400000007</v>
      </c>
      <c r="H2671" s="132"/>
    </row>
    <row r="2672" spans="1:8" s="289" customFormat="1" ht="15.75" outlineLevel="3">
      <c r="A2672" s="600"/>
      <c r="B2672" s="596"/>
      <c r="C2672" s="444">
        <v>2211300</v>
      </c>
      <c r="D2672" s="445" t="s">
        <v>55</v>
      </c>
      <c r="E2672" s="597">
        <f>E2673</f>
        <v>49803</v>
      </c>
      <c r="F2672" s="540">
        <f t="shared" ref="F2672:G2672" si="2042">E2672*1.1</f>
        <v>54783.3</v>
      </c>
      <c r="G2672" s="540">
        <f t="shared" si="2042"/>
        <v>60261.630000000005</v>
      </c>
      <c r="H2672" s="132"/>
    </row>
    <row r="2673" spans="1:8" s="302" customFormat="1" ht="30" outlineLevel="3">
      <c r="A2673" s="607"/>
      <c r="B2673" s="598"/>
      <c r="C2673" s="448">
        <v>2211306</v>
      </c>
      <c r="D2673" s="449" t="s">
        <v>57</v>
      </c>
      <c r="E2673" s="319">
        <v>49803</v>
      </c>
      <c r="F2673" s="540">
        <f t="shared" ref="F2673:G2673" si="2043">E2673*1.1</f>
        <v>54783.3</v>
      </c>
      <c r="G2673" s="540">
        <f t="shared" si="2043"/>
        <v>60261.630000000005</v>
      </c>
      <c r="H2673" s="132"/>
    </row>
    <row r="2674" spans="1:8" s="303" customFormat="1" ht="30" outlineLevel="3">
      <c r="A2674" s="600"/>
      <c r="B2674" s="596"/>
      <c r="C2674" s="444">
        <v>2220100</v>
      </c>
      <c r="D2674" s="445" t="s">
        <v>224</v>
      </c>
      <c r="E2674" s="597">
        <f>E2675+E2676</f>
        <v>1298000</v>
      </c>
      <c r="F2674" s="540">
        <f t="shared" ref="F2674:G2674" si="2044">E2674*1.1</f>
        <v>1427800</v>
      </c>
      <c r="G2674" s="540">
        <f t="shared" si="2044"/>
        <v>1570580.0000000002</v>
      </c>
      <c r="H2674" s="132"/>
    </row>
    <row r="2675" spans="1:8" s="302" customFormat="1" ht="15.75" outlineLevel="3">
      <c r="A2675" s="607"/>
      <c r="B2675" s="598"/>
      <c r="C2675" s="448">
        <v>2220101</v>
      </c>
      <c r="D2675" s="449" t="s">
        <v>225</v>
      </c>
      <c r="E2675" s="319">
        <v>650000</v>
      </c>
      <c r="F2675" s="540">
        <f t="shared" ref="F2675:G2675" si="2045">E2675*1.1</f>
        <v>715000</v>
      </c>
      <c r="G2675" s="540">
        <f t="shared" si="2045"/>
        <v>786500.00000000012</v>
      </c>
      <c r="H2675" s="132"/>
    </row>
    <row r="2676" spans="1:8" s="302" customFormat="1" ht="15.75" outlineLevel="3">
      <c r="A2676" s="607"/>
      <c r="B2676" s="598"/>
      <c r="C2676" s="448">
        <v>2220105</v>
      </c>
      <c r="D2676" s="449" t="s">
        <v>64</v>
      </c>
      <c r="E2676" s="319">
        <v>648000</v>
      </c>
      <c r="F2676" s="540">
        <f t="shared" ref="F2676:G2676" si="2046">E2676*1.1</f>
        <v>712800</v>
      </c>
      <c r="G2676" s="540">
        <f t="shared" si="2046"/>
        <v>784080.00000000012</v>
      </c>
      <c r="H2676" s="132"/>
    </row>
    <row r="2677" spans="1:8" s="289" customFormat="1" ht="15.75" outlineLevel="2">
      <c r="A2677" s="600"/>
      <c r="B2677" s="595"/>
      <c r="C2677" s="444" t="s">
        <v>734</v>
      </c>
      <c r="D2677" s="599"/>
      <c r="E2677" s="597">
        <f>E2672+E2668+E2661+E2663+E2658+E2670+E2674</f>
        <v>15909218</v>
      </c>
      <c r="F2677" s="540">
        <f t="shared" ref="F2677:G2677" si="2047">E2677*1.1</f>
        <v>17500139.800000001</v>
      </c>
      <c r="G2677" s="540">
        <f t="shared" si="2047"/>
        <v>19250153.780000001</v>
      </c>
      <c r="H2677" s="132"/>
    </row>
    <row r="2678" spans="1:8" s="300" customFormat="1" ht="15.75" outlineLevel="2">
      <c r="A2678" s="600"/>
      <c r="B2678" s="596"/>
      <c r="C2678" s="444"/>
      <c r="D2678" s="602"/>
      <c r="E2678" s="319"/>
      <c r="F2678" s="540">
        <f t="shared" ref="F2678:G2678" si="2048">E2678*1.1</f>
        <v>0</v>
      </c>
      <c r="G2678" s="540">
        <f t="shared" si="2048"/>
        <v>0</v>
      </c>
      <c r="H2678" s="132"/>
    </row>
    <row r="2679" spans="1:8" s="300" customFormat="1" ht="15.75" outlineLevel="2">
      <c r="A2679" s="600"/>
      <c r="B2679" s="596"/>
      <c r="C2679" s="444"/>
      <c r="D2679" s="602" t="s">
        <v>184</v>
      </c>
      <c r="E2679" s="319"/>
      <c r="F2679" s="540">
        <f t="shared" ref="F2679:G2679" si="2049">E2679*1.1</f>
        <v>0</v>
      </c>
      <c r="G2679" s="540">
        <f t="shared" si="2049"/>
        <v>0</v>
      </c>
      <c r="H2679" s="132"/>
    </row>
    <row r="2680" spans="1:8" s="289" customFormat="1" ht="15.75" outlineLevel="3">
      <c r="A2680" s="608"/>
      <c r="B2680" s="609"/>
      <c r="C2680" s="444">
        <v>31110500</v>
      </c>
      <c r="D2680" s="445" t="s">
        <v>305</v>
      </c>
      <c r="E2680" s="597">
        <f>E2681</f>
        <v>50000000</v>
      </c>
      <c r="F2680" s="540">
        <f t="shared" ref="F2680:G2680" si="2050">E2680*1.1</f>
        <v>55000000.000000007</v>
      </c>
      <c r="G2680" s="540">
        <f t="shared" si="2050"/>
        <v>60500000.000000015</v>
      </c>
      <c r="H2680" s="132"/>
    </row>
    <row r="2681" spans="1:8" s="289" customFormat="1" ht="30" outlineLevel="3">
      <c r="A2681" s="610"/>
      <c r="B2681" s="611"/>
      <c r="C2681" s="512">
        <v>31110504</v>
      </c>
      <c r="D2681" s="557" t="s">
        <v>760</v>
      </c>
      <c r="E2681" s="319">
        <v>50000000</v>
      </c>
      <c r="F2681" s="540">
        <f t="shared" ref="F2681:G2681" si="2051">E2681*1.1</f>
        <v>55000000.000000007</v>
      </c>
      <c r="G2681" s="540">
        <f t="shared" si="2051"/>
        <v>60500000.000000015</v>
      </c>
      <c r="H2681" s="132"/>
    </row>
    <row r="2682" spans="1:8" s="289" customFormat="1" ht="15.75" outlineLevel="2">
      <c r="A2682" s="600"/>
      <c r="B2682" s="595"/>
      <c r="C2682" s="443" t="s">
        <v>201</v>
      </c>
      <c r="D2682" s="492"/>
      <c r="E2682" s="597">
        <f>E2680</f>
        <v>50000000</v>
      </c>
      <c r="F2682" s="540">
        <f t="shared" ref="F2682:G2682" si="2052">E2682*1.1</f>
        <v>55000000.000000007</v>
      </c>
      <c r="G2682" s="540">
        <f t="shared" si="2052"/>
        <v>60500000.000000015</v>
      </c>
      <c r="H2682" s="132"/>
    </row>
    <row r="2683" spans="1:8" s="300" customFormat="1" ht="15.75" outlineLevel="1">
      <c r="A2683" s="600"/>
      <c r="B2683" s="595"/>
      <c r="C2683" s="443" t="s">
        <v>80</v>
      </c>
      <c r="D2683" s="492"/>
      <c r="E2683" s="597">
        <f>E2682+E2677</f>
        <v>65909218</v>
      </c>
      <c r="F2683" s="540">
        <f t="shared" ref="F2683:G2683" si="2053">E2683*1.1</f>
        <v>72500139.800000012</v>
      </c>
      <c r="G2683" s="540">
        <f t="shared" si="2053"/>
        <v>79750153.780000016</v>
      </c>
      <c r="H2683" s="132"/>
    </row>
    <row r="2684" spans="1:8" s="289" customFormat="1" ht="15.75" outlineLevel="1">
      <c r="A2684" s="596"/>
      <c r="B2684" s="596"/>
      <c r="C2684" s="437"/>
      <c r="D2684" s="494"/>
      <c r="E2684" s="319"/>
      <c r="F2684" s="540">
        <f t="shared" ref="F2684:G2684" si="2054">E2684*1.1</f>
        <v>0</v>
      </c>
      <c r="G2684" s="540">
        <f t="shared" si="2054"/>
        <v>0</v>
      </c>
      <c r="H2684" s="132"/>
    </row>
    <row r="2685" spans="1:8" s="300" customFormat="1" ht="15.75" outlineLevel="1">
      <c r="A2685" s="596" t="s">
        <v>430</v>
      </c>
      <c r="B2685" s="596"/>
      <c r="C2685" s="444" t="s">
        <v>761</v>
      </c>
      <c r="D2685" s="602"/>
      <c r="E2685" s="319"/>
      <c r="F2685" s="540">
        <f t="shared" ref="F2685:G2685" si="2055">E2685*1.1</f>
        <v>0</v>
      </c>
      <c r="G2685" s="540">
        <f t="shared" si="2055"/>
        <v>0</v>
      </c>
      <c r="H2685" s="132"/>
    </row>
    <row r="2686" spans="1:8" s="289" customFormat="1" ht="15.75" outlineLevel="1">
      <c r="A2686" s="600"/>
      <c r="B2686" s="600" t="s">
        <v>98</v>
      </c>
      <c r="C2686" s="444" t="s">
        <v>762</v>
      </c>
      <c r="D2686" s="602"/>
      <c r="E2686" s="319"/>
      <c r="F2686" s="540">
        <f t="shared" ref="F2686:G2686" si="2056">E2686*1.1</f>
        <v>0</v>
      </c>
      <c r="G2686" s="540">
        <f t="shared" si="2056"/>
        <v>0</v>
      </c>
      <c r="H2686" s="132"/>
    </row>
    <row r="2687" spans="1:8" s="289" customFormat="1" ht="30" outlineLevel="3">
      <c r="A2687" s="600"/>
      <c r="B2687" s="596"/>
      <c r="C2687" s="444">
        <v>2210300</v>
      </c>
      <c r="D2687" s="445" t="s">
        <v>23</v>
      </c>
      <c r="E2687" s="597">
        <f>E2688+E2689+E2690</f>
        <v>2488488</v>
      </c>
      <c r="F2687" s="540">
        <f t="shared" ref="F2687:G2687" si="2057">E2687*1.1</f>
        <v>2737336.8000000003</v>
      </c>
      <c r="G2687" s="540">
        <f t="shared" si="2057"/>
        <v>3011070.4800000004</v>
      </c>
      <c r="H2687" s="132"/>
    </row>
    <row r="2688" spans="1:8" s="289" customFormat="1" ht="15.75" outlineLevel="3">
      <c r="A2688" s="607"/>
      <c r="B2688" s="598"/>
      <c r="C2688" s="448">
        <v>2210301</v>
      </c>
      <c r="D2688" s="449" t="s">
        <v>208</v>
      </c>
      <c r="E2688" s="319">
        <v>840725</v>
      </c>
      <c r="F2688" s="540">
        <f t="shared" ref="F2688:G2688" si="2058">E2688*1.1</f>
        <v>924797.50000000012</v>
      </c>
      <c r="G2688" s="540">
        <f t="shared" si="2058"/>
        <v>1017277.2500000002</v>
      </c>
      <c r="H2688" s="132"/>
    </row>
    <row r="2689" spans="1:8" s="300" customFormat="1" ht="15.75" outlineLevel="3">
      <c r="A2689" s="607"/>
      <c r="B2689" s="598"/>
      <c r="C2689" s="448">
        <v>2210302</v>
      </c>
      <c r="D2689" s="449" t="s">
        <v>25</v>
      </c>
      <c r="E2689" s="319">
        <v>929486</v>
      </c>
      <c r="F2689" s="540">
        <f t="shared" ref="F2689:G2689" si="2059">E2689*1.1</f>
        <v>1022434.6000000001</v>
      </c>
      <c r="G2689" s="540">
        <f t="shared" si="2059"/>
        <v>1124678.0600000003</v>
      </c>
      <c r="H2689" s="132"/>
    </row>
    <row r="2690" spans="1:8" s="289" customFormat="1" ht="15.75" outlineLevel="3">
      <c r="A2690" s="607"/>
      <c r="B2690" s="598"/>
      <c r="C2690" s="448">
        <v>2210303</v>
      </c>
      <c r="D2690" s="449" t="s">
        <v>26</v>
      </c>
      <c r="E2690" s="319">
        <v>718277</v>
      </c>
      <c r="F2690" s="540">
        <f t="shared" ref="F2690:G2690" si="2060">E2690*1.1</f>
        <v>790104.70000000007</v>
      </c>
      <c r="G2690" s="540">
        <f t="shared" si="2060"/>
        <v>869115.17000000016</v>
      </c>
      <c r="H2690" s="132"/>
    </row>
    <row r="2691" spans="1:8" s="289" customFormat="1" ht="15.75" outlineLevel="3">
      <c r="A2691" s="600"/>
      <c r="B2691" s="596"/>
      <c r="C2691" s="444">
        <v>2210700</v>
      </c>
      <c r="D2691" s="445" t="s">
        <v>214</v>
      </c>
      <c r="E2691" s="597">
        <f>E2692+E2693+E2694+E2695</f>
        <v>2805904</v>
      </c>
      <c r="F2691" s="540">
        <f t="shared" ref="F2691:G2691" si="2061">E2691*1.1</f>
        <v>3086494.4000000004</v>
      </c>
      <c r="G2691" s="540">
        <f t="shared" si="2061"/>
        <v>3395143.8400000008</v>
      </c>
      <c r="H2691" s="132"/>
    </row>
    <row r="2692" spans="1:8" s="289" customFormat="1" ht="15.75" outlineLevel="3">
      <c r="A2692" s="607"/>
      <c r="B2692" s="598"/>
      <c r="C2692" s="448">
        <v>2210701</v>
      </c>
      <c r="D2692" s="449" t="s">
        <v>35</v>
      </c>
      <c r="E2692" s="319">
        <v>836819</v>
      </c>
      <c r="F2692" s="540">
        <f t="shared" ref="F2692:G2692" si="2062">E2692*1.1</f>
        <v>920500.9</v>
      </c>
      <c r="G2692" s="540">
        <f t="shared" si="2062"/>
        <v>1012550.9900000001</v>
      </c>
      <c r="H2692" s="132"/>
    </row>
    <row r="2693" spans="1:8" s="300" customFormat="1" ht="15.75" outlineLevel="3">
      <c r="A2693" s="607"/>
      <c r="B2693" s="598"/>
      <c r="C2693" s="448">
        <v>2210710</v>
      </c>
      <c r="D2693" s="449" t="s">
        <v>38</v>
      </c>
      <c r="E2693" s="319">
        <v>916660</v>
      </c>
      <c r="F2693" s="540">
        <f t="shared" ref="F2693:G2693" si="2063">E2693*1.1</f>
        <v>1008326.0000000001</v>
      </c>
      <c r="G2693" s="540">
        <f t="shared" si="2063"/>
        <v>1109158.6000000003</v>
      </c>
      <c r="H2693" s="132"/>
    </row>
    <row r="2694" spans="1:8" s="300" customFormat="1" ht="15.75" outlineLevel="3">
      <c r="A2694" s="607"/>
      <c r="B2694" s="598"/>
      <c r="C2694" s="437">
        <v>2210711</v>
      </c>
      <c r="D2694" s="494" t="s">
        <v>332</v>
      </c>
      <c r="E2694" s="319">
        <v>312425</v>
      </c>
      <c r="F2694" s="540">
        <f t="shared" ref="F2694:G2694" si="2064">E2694*1.1</f>
        <v>343667.5</v>
      </c>
      <c r="G2694" s="540">
        <f t="shared" si="2064"/>
        <v>378034.25000000006</v>
      </c>
      <c r="H2694" s="132"/>
    </row>
    <row r="2695" spans="1:8" s="289" customFormat="1" ht="15.75" outlineLevel="3">
      <c r="A2695" s="607"/>
      <c r="B2695" s="598"/>
      <c r="C2695" s="437">
        <v>2210715</v>
      </c>
      <c r="D2695" s="494" t="s">
        <v>39</v>
      </c>
      <c r="E2695" s="319">
        <v>740000</v>
      </c>
      <c r="F2695" s="540">
        <f t="shared" ref="F2695:G2695" si="2065">E2695*1.1</f>
        <v>814000.00000000012</v>
      </c>
      <c r="G2695" s="540">
        <f t="shared" si="2065"/>
        <v>895400.00000000023</v>
      </c>
      <c r="H2695" s="132"/>
    </row>
    <row r="2696" spans="1:8" s="289" customFormat="1" ht="15.75" outlineLevel="3">
      <c r="A2696" s="600"/>
      <c r="B2696" s="596"/>
      <c r="C2696" s="444">
        <v>2210800</v>
      </c>
      <c r="D2696" s="445" t="s">
        <v>41</v>
      </c>
      <c r="E2696" s="597">
        <f>E2697</f>
        <v>940128</v>
      </c>
      <c r="F2696" s="540">
        <f t="shared" ref="F2696:G2696" si="2066">E2696*1.1</f>
        <v>1034140.8</v>
      </c>
      <c r="G2696" s="540">
        <f t="shared" si="2066"/>
        <v>1137554.8800000001</v>
      </c>
      <c r="H2696" s="132"/>
    </row>
    <row r="2697" spans="1:8" s="300" customFormat="1" ht="30" outlineLevel="3">
      <c r="A2697" s="607"/>
      <c r="B2697" s="598"/>
      <c r="C2697" s="448">
        <v>2210801</v>
      </c>
      <c r="D2697" s="449" t="s">
        <v>112</v>
      </c>
      <c r="E2697" s="319">
        <v>940128</v>
      </c>
      <c r="F2697" s="540">
        <f t="shared" ref="F2697:G2697" si="2067">E2697*1.1</f>
        <v>1034140.8</v>
      </c>
      <c r="G2697" s="540">
        <f t="shared" si="2067"/>
        <v>1137554.8800000001</v>
      </c>
      <c r="H2697" s="132"/>
    </row>
    <row r="2698" spans="1:8" s="289" customFormat="1" ht="15.75" outlineLevel="3">
      <c r="A2698" s="600"/>
      <c r="B2698" s="596"/>
      <c r="C2698" s="444">
        <v>2211100</v>
      </c>
      <c r="D2698" s="445" t="s">
        <v>49</v>
      </c>
      <c r="E2698" s="597">
        <f>E2699+E2700</f>
        <v>1695692</v>
      </c>
      <c r="F2698" s="540">
        <f t="shared" ref="F2698:G2698" si="2068">E2698*1.1</f>
        <v>1865261.2000000002</v>
      </c>
      <c r="G2698" s="540">
        <f t="shared" si="2068"/>
        <v>2051787.3200000003</v>
      </c>
      <c r="H2698" s="132"/>
    </row>
    <row r="2699" spans="1:8" s="289" customFormat="1" ht="30" outlineLevel="3">
      <c r="A2699" s="607"/>
      <c r="B2699" s="598"/>
      <c r="C2699" s="448">
        <v>2211101</v>
      </c>
      <c r="D2699" s="494" t="s">
        <v>220</v>
      </c>
      <c r="E2699" s="319">
        <v>982277</v>
      </c>
      <c r="F2699" s="540">
        <f t="shared" ref="F2699:G2699" si="2069">E2699*1.1</f>
        <v>1080504.7000000002</v>
      </c>
      <c r="G2699" s="540">
        <f t="shared" si="2069"/>
        <v>1188555.1700000004</v>
      </c>
      <c r="H2699" s="132"/>
    </row>
    <row r="2700" spans="1:8" s="289" customFormat="1" ht="15.75" outlineLevel="3">
      <c r="A2700" s="607"/>
      <c r="B2700" s="598"/>
      <c r="C2700" s="448">
        <v>2211102</v>
      </c>
      <c r="D2700" s="449" t="s">
        <v>51</v>
      </c>
      <c r="E2700" s="319">
        <v>713415</v>
      </c>
      <c r="F2700" s="540">
        <f t="shared" ref="F2700:G2700" si="2070">E2700*1.1</f>
        <v>784756.50000000012</v>
      </c>
      <c r="G2700" s="540">
        <f t="shared" si="2070"/>
        <v>863232.15000000014</v>
      </c>
      <c r="H2700" s="132"/>
    </row>
    <row r="2701" spans="1:8" s="300" customFormat="1" ht="30" outlineLevel="3">
      <c r="A2701" s="600"/>
      <c r="B2701" s="596"/>
      <c r="C2701" s="444">
        <v>2220100</v>
      </c>
      <c r="D2701" s="445" t="s">
        <v>224</v>
      </c>
      <c r="E2701" s="597">
        <f>E2703+E2702</f>
        <v>939000</v>
      </c>
      <c r="F2701" s="540">
        <f t="shared" ref="F2701:G2701" si="2071">E2701*1.1</f>
        <v>1032900.0000000001</v>
      </c>
      <c r="G2701" s="540">
        <f t="shared" si="2071"/>
        <v>1136190.0000000002</v>
      </c>
      <c r="H2701" s="132"/>
    </row>
    <row r="2702" spans="1:8" s="289" customFormat="1" ht="15.75" outlineLevel="3">
      <c r="A2702" s="607"/>
      <c r="B2702" s="598"/>
      <c r="C2702" s="448">
        <v>2220101</v>
      </c>
      <c r="D2702" s="449" t="s">
        <v>225</v>
      </c>
      <c r="E2702" s="319">
        <v>325000</v>
      </c>
      <c r="F2702" s="540">
        <f t="shared" ref="F2702:G2702" si="2072">E2702*1.1</f>
        <v>357500</v>
      </c>
      <c r="G2702" s="540">
        <f t="shared" si="2072"/>
        <v>393250.00000000006</v>
      </c>
      <c r="H2702" s="132"/>
    </row>
    <row r="2703" spans="1:8" s="300" customFormat="1" ht="15.75" outlineLevel="3">
      <c r="A2703" s="607"/>
      <c r="B2703" s="598"/>
      <c r="C2703" s="448">
        <v>2220105</v>
      </c>
      <c r="D2703" s="449" t="s">
        <v>64</v>
      </c>
      <c r="E2703" s="319">
        <v>614000</v>
      </c>
      <c r="F2703" s="540">
        <f t="shared" ref="F2703:G2703" si="2073">E2703*1.1</f>
        <v>675400</v>
      </c>
      <c r="G2703" s="540">
        <f t="shared" si="2073"/>
        <v>742940.00000000012</v>
      </c>
      <c r="H2703" s="132"/>
    </row>
    <row r="2704" spans="1:8" s="289" customFormat="1" ht="15.75" outlineLevel="3">
      <c r="A2704" s="600"/>
      <c r="B2704" s="596"/>
      <c r="C2704" s="443">
        <v>3111000</v>
      </c>
      <c r="D2704" s="445" t="s">
        <v>65</v>
      </c>
      <c r="E2704" s="597">
        <f>E2705</f>
        <v>980000</v>
      </c>
      <c r="F2704" s="540">
        <f t="shared" ref="F2704:G2704" si="2074">E2704*1.1</f>
        <v>1078000</v>
      </c>
      <c r="G2704" s="540">
        <f t="shared" si="2074"/>
        <v>1185800</v>
      </c>
      <c r="H2704" s="132"/>
    </row>
    <row r="2705" spans="1:8" s="289" customFormat="1" ht="15.75" outlineLevel="3">
      <c r="A2705" s="607"/>
      <c r="B2705" s="598"/>
      <c r="C2705" s="448">
        <v>3111002</v>
      </c>
      <c r="D2705" s="449" t="s">
        <v>67</v>
      </c>
      <c r="E2705" s="319">
        <v>980000</v>
      </c>
      <c r="F2705" s="540">
        <f t="shared" ref="F2705:G2705" si="2075">E2705*1.1</f>
        <v>1078000</v>
      </c>
      <c r="G2705" s="540">
        <f t="shared" si="2075"/>
        <v>1185800</v>
      </c>
      <c r="H2705" s="132"/>
    </row>
    <row r="2706" spans="1:8" s="289" customFormat="1" ht="15.75" outlineLevel="3">
      <c r="A2706" s="607"/>
      <c r="B2706" s="598"/>
      <c r="C2706" s="444">
        <v>3111100</v>
      </c>
      <c r="D2706" s="492" t="s">
        <v>669</v>
      </c>
      <c r="E2706" s="597">
        <f>E2707</f>
        <v>3000000</v>
      </c>
      <c r="F2706" s="540">
        <f t="shared" ref="F2706:G2706" si="2076">E2706*1.1</f>
        <v>3300000.0000000005</v>
      </c>
      <c r="G2706" s="540">
        <f t="shared" si="2076"/>
        <v>3630000.0000000009</v>
      </c>
      <c r="H2706" s="132"/>
    </row>
    <row r="2707" spans="1:8" s="289" customFormat="1" ht="30" outlineLevel="3">
      <c r="A2707" s="607"/>
      <c r="B2707" s="598"/>
      <c r="C2707" s="448">
        <v>3111109</v>
      </c>
      <c r="D2707" s="557" t="s">
        <v>763</v>
      </c>
      <c r="E2707" s="319">
        <v>3000000</v>
      </c>
      <c r="F2707" s="540">
        <f t="shared" ref="F2707:G2707" si="2077">E2707*1.1</f>
        <v>3300000.0000000005</v>
      </c>
      <c r="G2707" s="540">
        <f t="shared" si="2077"/>
        <v>3630000.0000000009</v>
      </c>
      <c r="H2707" s="132"/>
    </row>
    <row r="2708" spans="1:8" s="300" customFormat="1" ht="15.75" outlineLevel="2">
      <c r="A2708" s="600"/>
      <c r="B2708" s="596"/>
      <c r="C2708" s="444" t="s">
        <v>734</v>
      </c>
      <c r="D2708" s="599"/>
      <c r="E2708" s="597">
        <f>E2704+E2698+E2696+E2691+E2687+E2701+E2706</f>
        <v>12849212</v>
      </c>
      <c r="F2708" s="540">
        <f t="shared" ref="F2708:G2708" si="2078">E2708*1.1</f>
        <v>14134133.200000001</v>
      </c>
      <c r="G2708" s="540">
        <f t="shared" si="2078"/>
        <v>15547546.520000003</v>
      </c>
      <c r="H2708" s="132"/>
    </row>
    <row r="2709" spans="1:8" s="289" customFormat="1" ht="15.75" outlineLevel="2">
      <c r="A2709" s="600"/>
      <c r="B2709" s="596"/>
      <c r="C2709" s="444"/>
      <c r="D2709" s="602"/>
      <c r="E2709" s="319"/>
      <c r="F2709" s="540">
        <f t="shared" ref="F2709:G2709" si="2079">E2709*1.1</f>
        <v>0</v>
      </c>
      <c r="G2709" s="540">
        <f t="shared" si="2079"/>
        <v>0</v>
      </c>
      <c r="H2709" s="132"/>
    </row>
    <row r="2710" spans="1:8" s="300" customFormat="1" ht="15.75" outlineLevel="2">
      <c r="A2710" s="600"/>
      <c r="B2710" s="596"/>
      <c r="C2710" s="444"/>
      <c r="D2710" s="602" t="s">
        <v>184</v>
      </c>
      <c r="E2710" s="319"/>
      <c r="F2710" s="540">
        <f t="shared" ref="F2710:G2710" si="2080">E2710*1.1</f>
        <v>0</v>
      </c>
      <c r="G2710" s="540">
        <f t="shared" si="2080"/>
        <v>0</v>
      </c>
      <c r="H2710" s="132"/>
    </row>
    <row r="2711" spans="1:8" s="289" customFormat="1" ht="15.75" outlineLevel="3">
      <c r="A2711" s="600"/>
      <c r="B2711" s="596"/>
      <c r="C2711" s="444" t="s">
        <v>764</v>
      </c>
      <c r="D2711" s="445" t="s">
        <v>305</v>
      </c>
      <c r="E2711" s="597">
        <f>E2712+E2713</f>
        <v>25000000</v>
      </c>
      <c r="F2711" s="540">
        <f t="shared" ref="F2711:G2711" si="2081">E2711*1.1</f>
        <v>27500000.000000004</v>
      </c>
      <c r="G2711" s="540">
        <f t="shared" si="2081"/>
        <v>30250000.000000007</v>
      </c>
      <c r="H2711" s="132"/>
    </row>
    <row r="2712" spans="1:8" s="302" customFormat="1" ht="30" outlineLevel="3">
      <c r="A2712" s="610"/>
      <c r="B2712" s="611"/>
      <c r="C2712" s="512">
        <v>3110504</v>
      </c>
      <c r="D2712" s="527" t="s">
        <v>765</v>
      </c>
      <c r="E2712" s="319">
        <v>20000000</v>
      </c>
      <c r="F2712" s="540">
        <f t="shared" ref="F2712:G2712" si="2082">E2712*1.1</f>
        <v>22000000</v>
      </c>
      <c r="G2712" s="540">
        <f t="shared" si="2082"/>
        <v>24200000.000000004</v>
      </c>
      <c r="H2712" s="132"/>
    </row>
    <row r="2713" spans="1:8" s="302" customFormat="1" ht="30" outlineLevel="3">
      <c r="A2713" s="610"/>
      <c r="B2713" s="611"/>
      <c r="C2713" s="706" t="s">
        <v>766</v>
      </c>
      <c r="D2713" s="527" t="s">
        <v>767</v>
      </c>
      <c r="E2713" s="319">
        <v>5000000</v>
      </c>
      <c r="F2713" s="540">
        <f t="shared" ref="F2713:G2713" si="2083">E2713*1.1</f>
        <v>5500000</v>
      </c>
      <c r="G2713" s="540">
        <f t="shared" si="2083"/>
        <v>6050000.0000000009</v>
      </c>
      <c r="H2713" s="132"/>
    </row>
    <row r="2714" spans="1:8" s="289" customFormat="1" ht="15.75" outlineLevel="3">
      <c r="A2714" s="610"/>
      <c r="B2714" s="612"/>
      <c r="C2714" s="539">
        <v>3111500</v>
      </c>
      <c r="D2714" s="509" t="s">
        <v>768</v>
      </c>
      <c r="E2714" s="597">
        <f>E2715+E2716</f>
        <v>7000000</v>
      </c>
      <c r="F2714" s="540">
        <f t="shared" ref="F2714:G2714" si="2084">E2714*1.1</f>
        <v>7700000.0000000009</v>
      </c>
      <c r="G2714" s="540">
        <f t="shared" si="2084"/>
        <v>8470000.0000000019</v>
      </c>
      <c r="H2714" s="132"/>
    </row>
    <row r="2715" spans="1:8" s="289" customFormat="1" ht="30" outlineLevel="3">
      <c r="A2715" s="610"/>
      <c r="B2715" s="611"/>
      <c r="C2715" s="512">
        <v>3111504</v>
      </c>
      <c r="D2715" s="527" t="s">
        <v>769</v>
      </c>
      <c r="E2715" s="319">
        <v>7000000</v>
      </c>
      <c r="F2715" s="540">
        <f t="shared" ref="F2715:G2715" si="2085">E2715*1.1</f>
        <v>7700000.0000000009</v>
      </c>
      <c r="G2715" s="540">
        <f t="shared" si="2085"/>
        <v>8470000.0000000019</v>
      </c>
      <c r="H2715" s="132"/>
    </row>
    <row r="2716" spans="1:8" s="289" customFormat="1" ht="15.75" outlineLevel="3">
      <c r="A2716" s="610"/>
      <c r="B2716" s="611"/>
      <c r="C2716" s="512">
        <v>3111504</v>
      </c>
      <c r="D2716" s="527" t="s">
        <v>770</v>
      </c>
      <c r="E2716" s="319"/>
      <c r="F2716" s="540">
        <f t="shared" ref="F2716:G2716" si="2086">E2716*1.1</f>
        <v>0</v>
      </c>
      <c r="G2716" s="540">
        <f t="shared" si="2086"/>
        <v>0</v>
      </c>
      <c r="H2716" s="132"/>
    </row>
    <row r="2717" spans="1:8" s="300" customFormat="1" ht="15.75" outlineLevel="2">
      <c r="A2717" s="595"/>
      <c r="B2717" s="595"/>
      <c r="C2717" s="539" t="s">
        <v>201</v>
      </c>
      <c r="D2717" s="579"/>
      <c r="E2717" s="597">
        <f>E2711+E2714</f>
        <v>32000000</v>
      </c>
      <c r="F2717" s="540">
        <f t="shared" ref="F2717:G2717" si="2087">E2717*1.1</f>
        <v>35200000</v>
      </c>
      <c r="G2717" s="540">
        <f t="shared" si="2087"/>
        <v>38720000</v>
      </c>
      <c r="H2717" s="132"/>
    </row>
    <row r="2718" spans="1:8" s="289" customFormat="1" ht="15.75" outlineLevel="1">
      <c r="A2718" s="595"/>
      <c r="B2718" s="595"/>
      <c r="C2718" s="539" t="s">
        <v>80</v>
      </c>
      <c r="D2718" s="579"/>
      <c r="E2718" s="597">
        <f>E2717+E2708</f>
        <v>44849212</v>
      </c>
      <c r="F2718" s="540">
        <f t="shared" ref="F2718:G2718" si="2088">E2718*1.1</f>
        <v>49334133.200000003</v>
      </c>
      <c r="G2718" s="540">
        <f t="shared" si="2088"/>
        <v>54267546.520000011</v>
      </c>
      <c r="H2718" s="132"/>
    </row>
    <row r="2719" spans="1:8" s="289" customFormat="1" ht="15.75" outlineLevel="1">
      <c r="A2719" s="324"/>
      <c r="B2719" s="324"/>
      <c r="C2719" s="443"/>
      <c r="D2719" s="492"/>
      <c r="E2719" s="319"/>
      <c r="F2719" s="540">
        <f t="shared" ref="F2719:G2719" si="2089">E2719*1.1</f>
        <v>0</v>
      </c>
      <c r="G2719" s="540">
        <f t="shared" si="2089"/>
        <v>0</v>
      </c>
      <c r="H2719" s="132"/>
    </row>
    <row r="2720" spans="1:8" s="300" customFormat="1" ht="15.75" outlineLevel="1">
      <c r="A2720" s="596"/>
      <c r="B2720" s="596"/>
      <c r="C2720" s="443" t="s">
        <v>771</v>
      </c>
      <c r="D2720" s="492"/>
      <c r="E2720" s="319"/>
      <c r="F2720" s="540">
        <f t="shared" ref="F2720:G2720" si="2090">E2720*1.1</f>
        <v>0</v>
      </c>
      <c r="G2720" s="540">
        <f t="shared" si="2090"/>
        <v>0</v>
      </c>
      <c r="H2720" s="132"/>
    </row>
    <row r="2721" spans="1:8" s="289" customFormat="1" ht="15.75" outlineLevel="1">
      <c r="A2721" s="600" t="s">
        <v>547</v>
      </c>
      <c r="B2721" s="600"/>
      <c r="C2721" s="443" t="s">
        <v>772</v>
      </c>
      <c r="D2721" s="492"/>
      <c r="E2721" s="319"/>
      <c r="F2721" s="540">
        <f t="shared" ref="F2721:G2721" si="2091">E2721*1.1</f>
        <v>0</v>
      </c>
      <c r="G2721" s="540">
        <f t="shared" si="2091"/>
        <v>0</v>
      </c>
      <c r="H2721" s="132"/>
    </row>
    <row r="2722" spans="1:8" s="300" customFormat="1" ht="15.75" outlineLevel="2">
      <c r="A2722" s="600"/>
      <c r="B2722" s="600" t="s">
        <v>98</v>
      </c>
      <c r="C2722" s="444">
        <v>2110100</v>
      </c>
      <c r="D2722" s="445" t="s">
        <v>13</v>
      </c>
      <c r="E2722" s="597">
        <f>E2723+E2724</f>
        <v>4496776</v>
      </c>
      <c r="F2722" s="540">
        <f t="shared" ref="F2722:G2722" si="2092">E2722*1.1</f>
        <v>4946453.6000000006</v>
      </c>
      <c r="G2722" s="540">
        <f t="shared" si="2092"/>
        <v>5441098.9600000009</v>
      </c>
      <c r="H2722" s="132"/>
    </row>
    <row r="2723" spans="1:8" s="289" customFormat="1" ht="15.75" outlineLevel="2">
      <c r="A2723" s="600"/>
      <c r="B2723" s="596"/>
      <c r="C2723" s="448">
        <v>2110101</v>
      </c>
      <c r="D2723" s="449" t="s">
        <v>14</v>
      </c>
      <c r="E2723" s="319">
        <v>4470776</v>
      </c>
      <c r="F2723" s="540">
        <f t="shared" ref="F2723:G2723" si="2093">E2723*1.1</f>
        <v>4917853.6000000006</v>
      </c>
      <c r="G2723" s="540">
        <f t="shared" si="2093"/>
        <v>5409638.9600000009</v>
      </c>
      <c r="H2723" s="132"/>
    </row>
    <row r="2724" spans="1:8" s="289" customFormat="1" ht="15.75" outlineLevel="2">
      <c r="A2724" s="600"/>
      <c r="B2724" s="598"/>
      <c r="C2724" s="448">
        <v>2110120</v>
      </c>
      <c r="D2724" s="449" t="s">
        <v>731</v>
      </c>
      <c r="E2724" s="319">
        <v>26000</v>
      </c>
      <c r="F2724" s="540">
        <f t="shared" ref="F2724:G2724" si="2094">E2724*1.1</f>
        <v>28600.000000000004</v>
      </c>
      <c r="G2724" s="540">
        <f t="shared" si="2094"/>
        <v>31460.000000000007</v>
      </c>
      <c r="H2724" s="132"/>
    </row>
    <row r="2725" spans="1:8" s="289" customFormat="1" ht="30" outlineLevel="2">
      <c r="A2725" s="600"/>
      <c r="B2725" s="596"/>
      <c r="C2725" s="444">
        <v>2210300</v>
      </c>
      <c r="D2725" s="445" t="s">
        <v>23</v>
      </c>
      <c r="E2725" s="597">
        <f>E2726+E2727+E2728</f>
        <v>2651282</v>
      </c>
      <c r="F2725" s="540">
        <f t="shared" ref="F2725:G2725" si="2095">E2725*1.1</f>
        <v>2916410.2</v>
      </c>
      <c r="G2725" s="540">
        <f t="shared" si="2095"/>
        <v>3208051.2200000007</v>
      </c>
      <c r="H2725" s="132"/>
    </row>
    <row r="2726" spans="1:8" s="300" customFormat="1" ht="15.75" outlineLevel="2">
      <c r="A2726" s="607"/>
      <c r="B2726" s="598"/>
      <c r="C2726" s="448">
        <v>2210301</v>
      </c>
      <c r="D2726" s="449" t="s">
        <v>208</v>
      </c>
      <c r="E2726" s="319">
        <v>890725</v>
      </c>
      <c r="F2726" s="540">
        <f t="shared" ref="F2726:G2726" si="2096">E2726*1.1</f>
        <v>979797.50000000012</v>
      </c>
      <c r="G2726" s="540">
        <f t="shared" si="2096"/>
        <v>1077777.2500000002</v>
      </c>
      <c r="H2726" s="132"/>
    </row>
    <row r="2727" spans="1:8" s="289" customFormat="1" ht="15.75" outlineLevel="2">
      <c r="A2727" s="607"/>
      <c r="B2727" s="598"/>
      <c r="C2727" s="448">
        <v>2210302</v>
      </c>
      <c r="D2727" s="449" t="s">
        <v>25</v>
      </c>
      <c r="E2727" s="319">
        <v>970680</v>
      </c>
      <c r="F2727" s="540">
        <f t="shared" ref="F2727:G2727" si="2097">E2727*1.1</f>
        <v>1067748</v>
      </c>
      <c r="G2727" s="540">
        <f t="shared" si="2097"/>
        <v>1174522.8</v>
      </c>
      <c r="H2727" s="132"/>
    </row>
    <row r="2728" spans="1:8" s="300" customFormat="1" ht="15.75" outlineLevel="2">
      <c r="A2728" s="607"/>
      <c r="B2728" s="598"/>
      <c r="C2728" s="448">
        <v>2210303</v>
      </c>
      <c r="D2728" s="494" t="s">
        <v>259</v>
      </c>
      <c r="E2728" s="319">
        <v>789877</v>
      </c>
      <c r="F2728" s="540">
        <f t="shared" ref="F2728:G2728" si="2098">E2728*1.1</f>
        <v>868864.70000000007</v>
      </c>
      <c r="G2728" s="540">
        <f t="shared" si="2098"/>
        <v>955751.17000000016</v>
      </c>
      <c r="H2728" s="132"/>
    </row>
    <row r="2729" spans="1:8" s="289" customFormat="1" ht="15.75" outlineLevel="2">
      <c r="A2729" s="600"/>
      <c r="B2729" s="596"/>
      <c r="C2729" s="444">
        <v>2211300</v>
      </c>
      <c r="D2729" s="445" t="s">
        <v>55</v>
      </c>
      <c r="E2729" s="597">
        <f>E2730</f>
        <v>59803</v>
      </c>
      <c r="F2729" s="540">
        <f t="shared" ref="F2729:G2729" si="2099">E2729*1.1</f>
        <v>65783.3</v>
      </c>
      <c r="G2729" s="540">
        <f t="shared" si="2099"/>
        <v>72361.63</v>
      </c>
      <c r="H2729" s="132"/>
    </row>
    <row r="2730" spans="1:8" s="289" customFormat="1" ht="30" outlineLevel="2">
      <c r="A2730" s="607"/>
      <c r="B2730" s="598"/>
      <c r="C2730" s="448">
        <v>2211306</v>
      </c>
      <c r="D2730" s="449" t="s">
        <v>57</v>
      </c>
      <c r="E2730" s="319">
        <v>59803</v>
      </c>
      <c r="F2730" s="540">
        <f t="shared" ref="F2730:G2730" si="2100">E2730*1.1</f>
        <v>65783.3</v>
      </c>
      <c r="G2730" s="540">
        <f t="shared" si="2100"/>
        <v>72361.63</v>
      </c>
      <c r="H2730" s="132"/>
    </row>
    <row r="2731" spans="1:8" s="300" customFormat="1" ht="15.75" outlineLevel="2">
      <c r="A2731" s="600"/>
      <c r="B2731" s="596"/>
      <c r="C2731" s="444">
        <v>2210700</v>
      </c>
      <c r="D2731" s="445" t="s">
        <v>214</v>
      </c>
      <c r="E2731" s="597">
        <f>E2732+E2733+E2734</f>
        <v>3690000</v>
      </c>
      <c r="F2731" s="540">
        <f t="shared" ref="F2731:G2731" si="2101">E2731*1.1</f>
        <v>4059000.0000000005</v>
      </c>
      <c r="G2731" s="540">
        <f t="shared" si="2101"/>
        <v>4464900.0000000009</v>
      </c>
      <c r="H2731" s="132"/>
    </row>
    <row r="2732" spans="1:8" s="289" customFormat="1" ht="15.75" outlineLevel="2">
      <c r="A2732" s="607"/>
      <c r="B2732" s="598"/>
      <c r="C2732" s="448">
        <v>2210701</v>
      </c>
      <c r="D2732" s="449" t="s">
        <v>35</v>
      </c>
      <c r="E2732" s="319">
        <v>1790000</v>
      </c>
      <c r="F2732" s="540">
        <f t="shared" ref="F2732:G2732" si="2102">E2732*1.1</f>
        <v>1969000.0000000002</v>
      </c>
      <c r="G2732" s="540">
        <f t="shared" si="2102"/>
        <v>2165900.0000000005</v>
      </c>
      <c r="H2732" s="132"/>
    </row>
    <row r="2733" spans="1:8" s="289" customFormat="1" ht="15.75" outlineLevel="2">
      <c r="A2733" s="607"/>
      <c r="B2733" s="598"/>
      <c r="C2733" s="448">
        <v>2210710</v>
      </c>
      <c r="D2733" s="449" t="s">
        <v>38</v>
      </c>
      <c r="E2733" s="319">
        <v>980000</v>
      </c>
      <c r="F2733" s="540">
        <f t="shared" ref="F2733:G2733" si="2103">E2733*1.1</f>
        <v>1078000</v>
      </c>
      <c r="G2733" s="540">
        <f t="shared" si="2103"/>
        <v>1185800</v>
      </c>
      <c r="H2733" s="132"/>
    </row>
    <row r="2734" spans="1:8" s="289" customFormat="1" ht="15.75" outlineLevel="2">
      <c r="A2734" s="607"/>
      <c r="B2734" s="598"/>
      <c r="C2734" s="437">
        <v>2210799</v>
      </c>
      <c r="D2734" s="494" t="s">
        <v>238</v>
      </c>
      <c r="E2734" s="319">
        <v>920000</v>
      </c>
      <c r="F2734" s="540">
        <f t="shared" ref="F2734:G2734" si="2104">E2734*1.1</f>
        <v>1012000.0000000001</v>
      </c>
      <c r="G2734" s="540">
        <f t="shared" si="2104"/>
        <v>1113200.0000000002</v>
      </c>
      <c r="H2734" s="132"/>
    </row>
    <row r="2735" spans="1:8" s="300" customFormat="1" ht="15.75" outlineLevel="1">
      <c r="A2735" s="600"/>
      <c r="B2735" s="596"/>
      <c r="C2735" s="444" t="s">
        <v>734</v>
      </c>
      <c r="D2735" s="602"/>
      <c r="E2735" s="597">
        <f>E2729+E2725+E2722+E2731</f>
        <v>10897861</v>
      </c>
      <c r="F2735" s="540">
        <f t="shared" ref="F2735:G2735" si="2105">E2735*1.1</f>
        <v>11987647.100000001</v>
      </c>
      <c r="G2735" s="540">
        <f t="shared" si="2105"/>
        <v>13186411.810000002</v>
      </c>
      <c r="H2735" s="132"/>
    </row>
    <row r="2736" spans="1:8" s="289" customFormat="1" ht="15.75" outlineLevel="1">
      <c r="A2736" s="600"/>
      <c r="B2736" s="596"/>
      <c r="C2736" s="443" t="s">
        <v>80</v>
      </c>
      <c r="D2736" s="492"/>
      <c r="E2736" s="597">
        <f>E2735</f>
        <v>10897861</v>
      </c>
      <c r="F2736" s="540">
        <f t="shared" ref="F2736:G2736" si="2106">E2736*1.1</f>
        <v>11987647.100000001</v>
      </c>
      <c r="G2736" s="540">
        <f t="shared" si="2106"/>
        <v>13186411.810000002</v>
      </c>
      <c r="H2736" s="132"/>
    </row>
    <row r="2737" spans="1:8" s="289" customFormat="1" ht="15.75" outlineLevel="1">
      <c r="A2737" s="600"/>
      <c r="B2737" s="596"/>
      <c r="C2737" s="443"/>
      <c r="D2737" s="492"/>
      <c r="E2737" s="319"/>
      <c r="F2737" s="540">
        <f t="shared" ref="F2737:G2737" si="2107">E2737*1.1</f>
        <v>0</v>
      </c>
      <c r="G2737" s="540">
        <f t="shared" si="2107"/>
        <v>0</v>
      </c>
      <c r="H2737" s="132"/>
    </row>
    <row r="2738" spans="1:8" s="300" customFormat="1" ht="15.75" outlineLevel="1">
      <c r="A2738" s="600" t="s">
        <v>547</v>
      </c>
      <c r="B2738" s="600"/>
      <c r="C2738" s="443" t="s">
        <v>773</v>
      </c>
      <c r="D2738" s="492"/>
      <c r="E2738" s="319"/>
      <c r="F2738" s="540">
        <f t="shared" ref="F2738:G2738" si="2108">E2738*1.1</f>
        <v>0</v>
      </c>
      <c r="G2738" s="540">
        <f t="shared" si="2108"/>
        <v>0</v>
      </c>
      <c r="H2738" s="132"/>
    </row>
    <row r="2739" spans="1:8" s="289" customFormat="1" ht="15.75" outlineLevel="2">
      <c r="A2739" s="600"/>
      <c r="B2739" s="600" t="s">
        <v>98</v>
      </c>
      <c r="C2739" s="444">
        <v>2210200</v>
      </c>
      <c r="D2739" s="445" t="s">
        <v>19</v>
      </c>
      <c r="E2739" s="597">
        <f>E2740</f>
        <v>654000</v>
      </c>
      <c r="F2739" s="540">
        <f t="shared" ref="F2739:G2739" si="2109">E2739*1.1</f>
        <v>719400</v>
      </c>
      <c r="G2739" s="540">
        <f t="shared" si="2109"/>
        <v>791340.00000000012</v>
      </c>
      <c r="H2739" s="132"/>
    </row>
    <row r="2740" spans="1:8" s="300" customFormat="1" ht="15.75" outlineLevel="2">
      <c r="A2740" s="607"/>
      <c r="B2740" s="598"/>
      <c r="C2740" s="448">
        <v>2210201</v>
      </c>
      <c r="D2740" s="449" t="s">
        <v>236</v>
      </c>
      <c r="E2740" s="319">
        <v>654000</v>
      </c>
      <c r="F2740" s="540">
        <f t="shared" ref="F2740:G2740" si="2110">E2740*1.1</f>
        <v>719400</v>
      </c>
      <c r="G2740" s="540">
        <f t="shared" si="2110"/>
        <v>791340.00000000012</v>
      </c>
      <c r="H2740" s="132"/>
    </row>
    <row r="2741" spans="1:8" s="289" customFormat="1" ht="30" outlineLevel="2">
      <c r="A2741" s="600"/>
      <c r="B2741" s="382"/>
      <c r="C2741" s="444">
        <v>2210300</v>
      </c>
      <c r="D2741" s="445" t="s">
        <v>23</v>
      </c>
      <c r="E2741" s="597">
        <f>E2742+E2743+E2744</f>
        <v>2598445</v>
      </c>
      <c r="F2741" s="540">
        <f t="shared" ref="F2741:G2741" si="2111">E2741*1.1</f>
        <v>2858289.5</v>
      </c>
      <c r="G2741" s="540">
        <f t="shared" si="2111"/>
        <v>3144118.45</v>
      </c>
      <c r="H2741" s="132"/>
    </row>
    <row r="2742" spans="1:8" s="300" customFormat="1" ht="15.75" outlineLevel="2">
      <c r="A2742" s="607"/>
      <c r="B2742" s="598"/>
      <c r="C2742" s="448">
        <v>2210301</v>
      </c>
      <c r="D2742" s="449" t="s">
        <v>208</v>
      </c>
      <c r="E2742" s="319">
        <v>845962</v>
      </c>
      <c r="F2742" s="540">
        <f t="shared" ref="F2742:G2742" si="2112">E2742*1.1</f>
        <v>930558.20000000007</v>
      </c>
      <c r="G2742" s="540">
        <f t="shared" si="2112"/>
        <v>1023614.0200000001</v>
      </c>
      <c r="H2742" s="132"/>
    </row>
    <row r="2743" spans="1:8" s="289" customFormat="1" ht="15.75" outlineLevel="2">
      <c r="A2743" s="607"/>
      <c r="B2743" s="598"/>
      <c r="C2743" s="448">
        <v>2210302</v>
      </c>
      <c r="D2743" s="449" t="s">
        <v>25</v>
      </c>
      <c r="E2743" s="319">
        <v>972683</v>
      </c>
      <c r="F2743" s="540">
        <f t="shared" ref="F2743:G2743" si="2113">E2743*1.1</f>
        <v>1069951.3</v>
      </c>
      <c r="G2743" s="540">
        <f t="shared" si="2113"/>
        <v>1176946.4300000002</v>
      </c>
      <c r="H2743" s="132"/>
    </row>
    <row r="2744" spans="1:8" s="289" customFormat="1" ht="15.75" outlineLevel="2">
      <c r="A2744" s="607"/>
      <c r="B2744" s="598"/>
      <c r="C2744" s="448">
        <v>2210303</v>
      </c>
      <c r="D2744" s="494" t="s">
        <v>259</v>
      </c>
      <c r="E2744" s="319">
        <v>779800</v>
      </c>
      <c r="F2744" s="540">
        <f t="shared" ref="F2744:G2744" si="2114">E2744*1.1</f>
        <v>857780.00000000012</v>
      </c>
      <c r="G2744" s="540">
        <f t="shared" si="2114"/>
        <v>943558.00000000023</v>
      </c>
      <c r="H2744" s="132"/>
    </row>
    <row r="2745" spans="1:8" s="289" customFormat="1" ht="15.75" outlineLevel="2">
      <c r="A2745" s="600"/>
      <c r="B2745" s="596"/>
      <c r="C2745" s="444">
        <v>2210500</v>
      </c>
      <c r="D2745" s="445" t="s">
        <v>30</v>
      </c>
      <c r="E2745" s="597">
        <f>E2746</f>
        <v>262000</v>
      </c>
      <c r="F2745" s="540">
        <f t="shared" ref="F2745:G2745" si="2115">E2745*1.1</f>
        <v>288200</v>
      </c>
      <c r="G2745" s="540">
        <f t="shared" si="2115"/>
        <v>317020</v>
      </c>
      <c r="H2745" s="132"/>
    </row>
    <row r="2746" spans="1:8" s="300" customFormat="1" ht="15.75" outlineLevel="2">
      <c r="A2746" s="607"/>
      <c r="B2746" s="598"/>
      <c r="C2746" s="448">
        <v>2210503</v>
      </c>
      <c r="D2746" s="449" t="s">
        <v>31</v>
      </c>
      <c r="E2746" s="319">
        <v>262000</v>
      </c>
      <c r="F2746" s="540">
        <f t="shared" ref="F2746:G2746" si="2116">E2746*1.1</f>
        <v>288200</v>
      </c>
      <c r="G2746" s="540">
        <f t="shared" si="2116"/>
        <v>317020</v>
      </c>
      <c r="H2746" s="132"/>
    </row>
    <row r="2747" spans="1:8" s="300" customFormat="1" ht="15.75" outlineLevel="2">
      <c r="A2747" s="607"/>
      <c r="B2747" s="598"/>
      <c r="C2747" s="444">
        <v>2210700</v>
      </c>
      <c r="D2747" s="445" t="s">
        <v>214</v>
      </c>
      <c r="E2747" s="597">
        <f>E2749+E2748+E2750</f>
        <v>3134411</v>
      </c>
      <c r="F2747" s="540">
        <f t="shared" ref="F2747:G2747" si="2117">E2747*1.1</f>
        <v>3447852.1</v>
      </c>
      <c r="G2747" s="540">
        <f t="shared" si="2117"/>
        <v>3792637.3100000005</v>
      </c>
      <c r="H2747" s="132"/>
    </row>
    <row r="2748" spans="1:8" s="300" customFormat="1" ht="15.75" outlineLevel="2">
      <c r="A2748" s="607"/>
      <c r="B2748" s="598"/>
      <c r="C2748" s="448">
        <v>2210701</v>
      </c>
      <c r="D2748" s="449" t="s">
        <v>35</v>
      </c>
      <c r="E2748" s="319">
        <v>1221803</v>
      </c>
      <c r="F2748" s="540">
        <f t="shared" ref="F2748:G2748" si="2118">E2748*1.1</f>
        <v>1343983.3</v>
      </c>
      <c r="G2748" s="540">
        <f t="shared" si="2118"/>
        <v>1478381.6300000001</v>
      </c>
      <c r="H2748" s="132"/>
    </row>
    <row r="2749" spans="1:8" s="300" customFormat="1" ht="15.75" outlineLevel="2">
      <c r="A2749" s="607"/>
      <c r="B2749" s="598"/>
      <c r="C2749" s="448">
        <v>2210710</v>
      </c>
      <c r="D2749" s="449" t="s">
        <v>38</v>
      </c>
      <c r="E2749" s="319">
        <v>986500</v>
      </c>
      <c r="F2749" s="540">
        <f t="shared" ref="F2749:G2749" si="2119">E2749*1.1</f>
        <v>1085150</v>
      </c>
      <c r="G2749" s="540">
        <f t="shared" si="2119"/>
        <v>1193665</v>
      </c>
      <c r="H2749" s="132"/>
    </row>
    <row r="2750" spans="1:8" s="300" customFormat="1" ht="15.75" outlineLevel="2">
      <c r="A2750" s="607"/>
      <c r="B2750" s="598"/>
      <c r="C2750" s="437">
        <v>2210799</v>
      </c>
      <c r="D2750" s="494" t="s">
        <v>238</v>
      </c>
      <c r="E2750" s="319">
        <v>926108</v>
      </c>
      <c r="F2750" s="540">
        <f t="shared" ref="F2750:G2750" si="2120">E2750*1.1</f>
        <v>1018718.8</v>
      </c>
      <c r="G2750" s="540">
        <f t="shared" si="2120"/>
        <v>1120590.6800000002</v>
      </c>
      <c r="H2750" s="132"/>
    </row>
    <row r="2751" spans="1:8" s="300" customFormat="1" ht="15.75" outlineLevel="1">
      <c r="A2751" s="600"/>
      <c r="B2751" s="596"/>
      <c r="C2751" s="444" t="s">
        <v>734</v>
      </c>
      <c r="D2751" s="602"/>
      <c r="E2751" s="597">
        <f>E2745+E2739+E2741+E2747</f>
        <v>6648856</v>
      </c>
      <c r="F2751" s="540">
        <f t="shared" ref="F2751:G2751" si="2121">E2751*1.1</f>
        <v>7313741.6000000006</v>
      </c>
      <c r="G2751" s="540">
        <f t="shared" si="2121"/>
        <v>8045115.7600000016</v>
      </c>
      <c r="H2751" s="132"/>
    </row>
    <row r="2752" spans="1:8" s="300" customFormat="1" ht="15.75" outlineLevel="1">
      <c r="A2752" s="600"/>
      <c r="B2752" s="595"/>
      <c r="C2752" s="443" t="s">
        <v>80</v>
      </c>
      <c r="D2752" s="492"/>
      <c r="E2752" s="597">
        <f>E2751</f>
        <v>6648856</v>
      </c>
      <c r="F2752" s="540">
        <f t="shared" ref="F2752:G2752" si="2122">E2752*1.1</f>
        <v>7313741.6000000006</v>
      </c>
      <c r="G2752" s="540">
        <f t="shared" si="2122"/>
        <v>8045115.7600000016</v>
      </c>
      <c r="H2752" s="132"/>
    </row>
    <row r="2753" spans="1:8" s="289" customFormat="1" ht="15.75" outlineLevel="1">
      <c r="A2753" s="600" t="s">
        <v>547</v>
      </c>
      <c r="B2753" s="596"/>
      <c r="C2753" s="443"/>
      <c r="D2753" s="492"/>
      <c r="E2753" s="319"/>
      <c r="F2753" s="540">
        <f t="shared" ref="F2753:G2753" si="2123">E2753*1.1</f>
        <v>0</v>
      </c>
      <c r="G2753" s="540">
        <f t="shared" si="2123"/>
        <v>0</v>
      </c>
      <c r="H2753" s="132"/>
    </row>
    <row r="2754" spans="1:8" s="300" customFormat="1" ht="45" outlineLevel="1">
      <c r="A2754" s="600"/>
      <c r="B2754" s="600" t="s">
        <v>98</v>
      </c>
      <c r="C2754" s="443" t="s">
        <v>774</v>
      </c>
      <c r="D2754" s="492" t="s">
        <v>775</v>
      </c>
      <c r="E2754" s="319"/>
      <c r="F2754" s="540">
        <f t="shared" ref="F2754:G2754" si="2124">E2754*1.1</f>
        <v>0</v>
      </c>
      <c r="G2754" s="540">
        <f t="shared" si="2124"/>
        <v>0</v>
      </c>
      <c r="H2754" s="132"/>
    </row>
    <row r="2755" spans="1:8" s="300" customFormat="1" ht="15.75" outlineLevel="2">
      <c r="A2755" s="600"/>
      <c r="B2755" s="600"/>
      <c r="C2755" s="444">
        <v>2210200</v>
      </c>
      <c r="D2755" s="445" t="s">
        <v>19</v>
      </c>
      <c r="E2755" s="597">
        <f>E2756</f>
        <v>730000</v>
      </c>
      <c r="F2755" s="540">
        <f t="shared" ref="F2755:G2755" si="2125">E2755*1.1</f>
        <v>803000.00000000012</v>
      </c>
      <c r="G2755" s="540">
        <f t="shared" si="2125"/>
        <v>883300.00000000023</v>
      </c>
      <c r="H2755" s="132"/>
    </row>
    <row r="2756" spans="1:8" s="300" customFormat="1" ht="15.75" outlineLevel="2">
      <c r="A2756" s="600"/>
      <c r="B2756" s="600"/>
      <c r="C2756" s="448">
        <v>2210201</v>
      </c>
      <c r="D2756" s="449" t="s">
        <v>236</v>
      </c>
      <c r="E2756" s="319">
        <v>730000</v>
      </c>
      <c r="F2756" s="540">
        <f t="shared" ref="F2756:G2756" si="2126">E2756*1.1</f>
        <v>803000.00000000012</v>
      </c>
      <c r="G2756" s="540">
        <f t="shared" si="2126"/>
        <v>883300.00000000023</v>
      </c>
      <c r="H2756" s="132"/>
    </row>
    <row r="2757" spans="1:8" s="289" customFormat="1" ht="30" outlineLevel="2">
      <c r="A2757" s="600"/>
      <c r="B2757" s="596"/>
      <c r="C2757" s="443">
        <v>2210300</v>
      </c>
      <c r="D2757" s="445" t="s">
        <v>23</v>
      </c>
      <c r="E2757" s="597">
        <f>E2758+E2759+E2760+E2761</f>
        <v>3350000</v>
      </c>
      <c r="F2757" s="540">
        <f t="shared" ref="F2757:G2757" si="2127">E2757*1.1</f>
        <v>3685000.0000000005</v>
      </c>
      <c r="G2757" s="540">
        <f t="shared" si="2127"/>
        <v>4053500.0000000009</v>
      </c>
      <c r="H2757" s="132"/>
    </row>
    <row r="2758" spans="1:8" s="289" customFormat="1" ht="15.75" outlineLevel="2">
      <c r="A2758" s="607"/>
      <c r="B2758" s="598"/>
      <c r="C2758" s="448">
        <v>2210301</v>
      </c>
      <c r="D2758" s="449" t="s">
        <v>208</v>
      </c>
      <c r="E2758" s="319">
        <v>590000</v>
      </c>
      <c r="F2758" s="540">
        <f t="shared" ref="F2758:G2758" si="2128">E2758*1.1</f>
        <v>649000</v>
      </c>
      <c r="G2758" s="540">
        <f t="shared" si="2128"/>
        <v>713900</v>
      </c>
      <c r="H2758" s="132"/>
    </row>
    <row r="2759" spans="1:8" s="289" customFormat="1" ht="15.75" outlineLevel="2">
      <c r="A2759" s="607"/>
      <c r="B2759" s="598"/>
      <c r="C2759" s="448">
        <v>2210302</v>
      </c>
      <c r="D2759" s="449" t="s">
        <v>25</v>
      </c>
      <c r="E2759" s="319">
        <v>895000</v>
      </c>
      <c r="F2759" s="540">
        <f t="shared" ref="F2759:G2759" si="2129">E2759*1.1</f>
        <v>984500.00000000012</v>
      </c>
      <c r="G2759" s="540">
        <f t="shared" si="2129"/>
        <v>1082950.0000000002</v>
      </c>
      <c r="H2759" s="132"/>
    </row>
    <row r="2760" spans="1:8" s="300" customFormat="1" ht="15.75" outlineLevel="2">
      <c r="A2760" s="607"/>
      <c r="B2760" s="598"/>
      <c r="C2760" s="448">
        <v>2210303</v>
      </c>
      <c r="D2760" s="494" t="s">
        <v>259</v>
      </c>
      <c r="E2760" s="319">
        <v>915000</v>
      </c>
      <c r="F2760" s="540">
        <f t="shared" ref="F2760:G2760" si="2130">E2760*1.1</f>
        <v>1006500.0000000001</v>
      </c>
      <c r="G2760" s="540">
        <f t="shared" si="2130"/>
        <v>1107150.0000000002</v>
      </c>
      <c r="H2760" s="132"/>
    </row>
    <row r="2761" spans="1:8" s="300" customFormat="1" ht="15.75" outlineLevel="2">
      <c r="A2761" s="607"/>
      <c r="B2761" s="598"/>
      <c r="C2761" s="448">
        <v>2210310</v>
      </c>
      <c r="D2761" s="494" t="s">
        <v>237</v>
      </c>
      <c r="E2761" s="319">
        <v>950000</v>
      </c>
      <c r="F2761" s="540">
        <f t="shared" ref="F2761:G2761" si="2131">E2761*1.1</f>
        <v>1045000.0000000001</v>
      </c>
      <c r="G2761" s="540">
        <f t="shared" si="2131"/>
        <v>1149500.0000000002</v>
      </c>
      <c r="H2761" s="132"/>
    </row>
    <row r="2762" spans="1:8" s="289" customFormat="1" ht="15.75" outlineLevel="2">
      <c r="A2762" s="600"/>
      <c r="B2762" s="596"/>
      <c r="C2762" s="444">
        <v>2210700</v>
      </c>
      <c r="D2762" s="445" t="s">
        <v>214</v>
      </c>
      <c r="E2762" s="597">
        <f>E2763+E2764+E2765+E2766+E2767</f>
        <v>3000000</v>
      </c>
      <c r="F2762" s="540">
        <f t="shared" ref="F2762:G2762" si="2132">E2762*1.1</f>
        <v>3300000.0000000005</v>
      </c>
      <c r="G2762" s="540">
        <f t="shared" si="2132"/>
        <v>3630000.0000000009</v>
      </c>
      <c r="H2762" s="132"/>
    </row>
    <row r="2763" spans="1:8" s="289" customFormat="1" ht="15.75" outlineLevel="2">
      <c r="A2763" s="607"/>
      <c r="B2763" s="598"/>
      <c r="C2763" s="448">
        <v>2210701</v>
      </c>
      <c r="D2763" s="449" t="s">
        <v>35</v>
      </c>
      <c r="E2763" s="319">
        <v>887000</v>
      </c>
      <c r="F2763" s="540">
        <f t="shared" ref="F2763:G2763" si="2133">E2763*1.1</f>
        <v>975700.00000000012</v>
      </c>
      <c r="G2763" s="540">
        <f t="shared" si="2133"/>
        <v>1073270.0000000002</v>
      </c>
      <c r="H2763" s="132"/>
    </row>
    <row r="2764" spans="1:8" s="289" customFormat="1" ht="15.75" outlineLevel="2">
      <c r="A2764" s="607"/>
      <c r="B2764" s="598"/>
      <c r="C2764" s="448">
        <v>2210703</v>
      </c>
      <c r="D2764" s="449" t="s">
        <v>166</v>
      </c>
      <c r="E2764" s="319">
        <v>378000</v>
      </c>
      <c r="F2764" s="540">
        <f t="shared" ref="F2764:G2764" si="2134">E2764*1.1</f>
        <v>415800.00000000006</v>
      </c>
      <c r="G2764" s="540">
        <f t="shared" si="2134"/>
        <v>457380.00000000012</v>
      </c>
      <c r="H2764" s="132"/>
    </row>
    <row r="2765" spans="1:8" s="289" customFormat="1" ht="15.75" outlineLevel="2">
      <c r="A2765" s="607"/>
      <c r="B2765" s="598"/>
      <c r="C2765" s="448">
        <v>2210704</v>
      </c>
      <c r="D2765" s="449" t="s">
        <v>37</v>
      </c>
      <c r="E2765" s="319">
        <v>211000</v>
      </c>
      <c r="F2765" s="540">
        <f t="shared" ref="F2765:G2765" si="2135">E2765*1.1</f>
        <v>232100.00000000003</v>
      </c>
      <c r="G2765" s="540">
        <f t="shared" si="2135"/>
        <v>255310.00000000006</v>
      </c>
      <c r="H2765" s="132"/>
    </row>
    <row r="2766" spans="1:8" s="300" customFormat="1" ht="15.75" outlineLevel="2">
      <c r="A2766" s="607"/>
      <c r="B2766" s="598"/>
      <c r="C2766" s="448">
        <v>2210710</v>
      </c>
      <c r="D2766" s="449" t="s">
        <v>38</v>
      </c>
      <c r="E2766" s="319">
        <v>964000</v>
      </c>
      <c r="F2766" s="540">
        <f t="shared" ref="F2766:G2766" si="2136">E2766*1.1</f>
        <v>1060400</v>
      </c>
      <c r="G2766" s="540">
        <f t="shared" si="2136"/>
        <v>1166440</v>
      </c>
      <c r="H2766" s="132"/>
    </row>
    <row r="2767" spans="1:8" s="289" customFormat="1" ht="15.75" outlineLevel="2">
      <c r="A2767" s="607"/>
      <c r="B2767" s="598"/>
      <c r="C2767" s="437">
        <v>2210715</v>
      </c>
      <c r="D2767" s="494" t="s">
        <v>39</v>
      </c>
      <c r="E2767" s="319">
        <v>560000</v>
      </c>
      <c r="F2767" s="540">
        <f t="shared" ref="F2767:G2767" si="2137">E2767*1.1</f>
        <v>616000</v>
      </c>
      <c r="G2767" s="540">
        <f t="shared" si="2137"/>
        <v>677600</v>
      </c>
      <c r="H2767" s="132"/>
    </row>
    <row r="2768" spans="1:8" s="300" customFormat="1" ht="15.75" outlineLevel="2">
      <c r="A2768" s="600"/>
      <c r="B2768" s="596"/>
      <c r="C2768" s="444">
        <v>2210800</v>
      </c>
      <c r="D2768" s="445" t="s">
        <v>41</v>
      </c>
      <c r="E2768" s="597">
        <f>E2769+E2770</f>
        <v>870000</v>
      </c>
      <c r="F2768" s="540">
        <f t="shared" ref="F2768:G2768" si="2138">E2768*1.1</f>
        <v>957000.00000000012</v>
      </c>
      <c r="G2768" s="540">
        <f t="shared" si="2138"/>
        <v>1052700.0000000002</v>
      </c>
      <c r="H2768" s="132"/>
    </row>
    <row r="2769" spans="1:8" s="289" customFormat="1" ht="30" outlineLevel="2">
      <c r="A2769" s="607"/>
      <c r="B2769" s="598"/>
      <c r="C2769" s="448">
        <v>2210801</v>
      </c>
      <c r="D2769" s="449" t="s">
        <v>112</v>
      </c>
      <c r="E2769" s="319">
        <v>320000</v>
      </c>
      <c r="F2769" s="540">
        <f t="shared" ref="F2769:G2769" si="2139">E2769*1.1</f>
        <v>352000</v>
      </c>
      <c r="G2769" s="540">
        <f t="shared" si="2139"/>
        <v>387200.00000000006</v>
      </c>
      <c r="H2769" s="132"/>
    </row>
    <row r="2770" spans="1:8" s="289" customFormat="1" ht="15.75" outlineLevel="2">
      <c r="A2770" s="607"/>
      <c r="B2770" s="598"/>
      <c r="C2770" s="448">
        <v>2210802</v>
      </c>
      <c r="D2770" s="449" t="s">
        <v>86</v>
      </c>
      <c r="E2770" s="319">
        <v>550000</v>
      </c>
      <c r="F2770" s="540">
        <f t="shared" ref="F2770:G2770" si="2140">E2770*1.1</f>
        <v>605000</v>
      </c>
      <c r="G2770" s="540">
        <f t="shared" si="2140"/>
        <v>665500</v>
      </c>
      <c r="H2770" s="132"/>
    </row>
    <row r="2771" spans="1:8" s="300" customFormat="1" ht="15.75" outlineLevel="2">
      <c r="A2771" s="600"/>
      <c r="B2771" s="596"/>
      <c r="C2771" s="444">
        <v>2211000</v>
      </c>
      <c r="D2771" s="445" t="s">
        <v>173</v>
      </c>
      <c r="E2771" s="597">
        <f>E2772+E2773</f>
        <v>620000</v>
      </c>
      <c r="F2771" s="540">
        <f t="shared" ref="F2771:G2771" si="2141">E2771*1.1</f>
        <v>682000</v>
      </c>
      <c r="G2771" s="540">
        <f t="shared" si="2141"/>
        <v>750200.00000000012</v>
      </c>
      <c r="H2771" s="132"/>
    </row>
    <row r="2772" spans="1:8" s="289" customFormat="1" ht="15.75" outlineLevel="2">
      <c r="A2772" s="607"/>
      <c r="B2772" s="598"/>
      <c r="C2772" s="448">
        <v>2211016</v>
      </c>
      <c r="D2772" s="449" t="s">
        <v>219</v>
      </c>
      <c r="E2772" s="319">
        <v>350000</v>
      </c>
      <c r="F2772" s="540">
        <f t="shared" ref="F2772:G2772" si="2142">E2772*1.1</f>
        <v>385000.00000000006</v>
      </c>
      <c r="G2772" s="540">
        <f t="shared" si="2142"/>
        <v>423500.00000000012</v>
      </c>
      <c r="H2772" s="132"/>
    </row>
    <row r="2773" spans="1:8" s="289" customFormat="1" ht="15.75" outlineLevel="2">
      <c r="A2773" s="607"/>
      <c r="B2773" s="598"/>
      <c r="C2773" s="448">
        <v>2211031</v>
      </c>
      <c r="D2773" s="449" t="s">
        <v>776</v>
      </c>
      <c r="E2773" s="319">
        <v>270000</v>
      </c>
      <c r="F2773" s="540">
        <f t="shared" ref="F2773:G2773" si="2143">E2773*1.1</f>
        <v>297000</v>
      </c>
      <c r="G2773" s="540">
        <f t="shared" si="2143"/>
        <v>326700</v>
      </c>
      <c r="H2773" s="132"/>
    </row>
    <row r="2774" spans="1:8" s="300" customFormat="1" ht="15.75" outlineLevel="2">
      <c r="A2774" s="600"/>
      <c r="B2774" s="596"/>
      <c r="C2774" s="444">
        <v>2211100</v>
      </c>
      <c r="D2774" s="445" t="s">
        <v>49</v>
      </c>
      <c r="E2774" s="597">
        <f>E2775+E2776+E2777</f>
        <v>1024000</v>
      </c>
      <c r="F2774" s="540">
        <f t="shared" ref="F2774:G2774" si="2144">E2774*1.1</f>
        <v>1126400</v>
      </c>
      <c r="G2774" s="540">
        <f t="shared" si="2144"/>
        <v>1239040</v>
      </c>
      <c r="H2774" s="132"/>
    </row>
    <row r="2775" spans="1:8" s="289" customFormat="1" ht="30" outlineLevel="2">
      <c r="A2775" s="607"/>
      <c r="B2775" s="598"/>
      <c r="C2775" s="448">
        <v>2211101</v>
      </c>
      <c r="D2775" s="494" t="s">
        <v>220</v>
      </c>
      <c r="E2775" s="319">
        <v>300000</v>
      </c>
      <c r="F2775" s="540">
        <f t="shared" ref="F2775:G2775" si="2145">E2775*1.1</f>
        <v>330000</v>
      </c>
      <c r="G2775" s="540">
        <f t="shared" si="2145"/>
        <v>363000.00000000006</v>
      </c>
      <c r="H2775" s="132"/>
    </row>
    <row r="2776" spans="1:8" s="289" customFormat="1" ht="15.75" outlineLevel="2">
      <c r="A2776" s="607"/>
      <c r="B2776" s="598"/>
      <c r="C2776" s="448">
        <v>2211102</v>
      </c>
      <c r="D2776" s="449" t="s">
        <v>51</v>
      </c>
      <c r="E2776" s="319">
        <v>412000</v>
      </c>
      <c r="F2776" s="540">
        <f t="shared" ref="F2776:G2776" si="2146">E2776*1.1</f>
        <v>453200.00000000006</v>
      </c>
      <c r="G2776" s="540">
        <f t="shared" si="2146"/>
        <v>498520.00000000012</v>
      </c>
      <c r="H2776" s="132"/>
    </row>
    <row r="2777" spans="1:8" s="289" customFormat="1" ht="15.75" outlineLevel="2">
      <c r="A2777" s="607"/>
      <c r="B2777" s="598"/>
      <c r="C2777" s="448">
        <v>2211199</v>
      </c>
      <c r="D2777" s="449" t="s">
        <v>733</v>
      </c>
      <c r="E2777" s="319">
        <v>312000</v>
      </c>
      <c r="F2777" s="540">
        <f t="shared" ref="F2777:G2777" si="2147">E2777*1.1</f>
        <v>343200</v>
      </c>
      <c r="G2777" s="540">
        <f t="shared" si="2147"/>
        <v>377520.00000000006</v>
      </c>
      <c r="H2777" s="132"/>
    </row>
    <row r="2778" spans="1:8" s="300" customFormat="1" ht="15.75" outlineLevel="2">
      <c r="A2778" s="600"/>
      <c r="B2778" s="596"/>
      <c r="C2778" s="444">
        <v>2211200</v>
      </c>
      <c r="D2778" s="445" t="s">
        <v>53</v>
      </c>
      <c r="E2778" s="597">
        <f>E2779</f>
        <v>1300000</v>
      </c>
      <c r="F2778" s="540">
        <f t="shared" ref="F2778:G2778" si="2148">E2778*1.1</f>
        <v>1430000</v>
      </c>
      <c r="G2778" s="540">
        <f t="shared" si="2148"/>
        <v>1573000.0000000002</v>
      </c>
      <c r="H2778" s="132"/>
    </row>
    <row r="2779" spans="1:8" s="289" customFormat="1" ht="15.75" outlineLevel="2">
      <c r="A2779" s="607"/>
      <c r="B2779" s="598"/>
      <c r="C2779" s="448">
        <v>2211201</v>
      </c>
      <c r="D2779" s="449" t="s">
        <v>91</v>
      </c>
      <c r="E2779" s="319">
        <v>1300000</v>
      </c>
      <c r="F2779" s="540">
        <f t="shared" ref="F2779:G2779" si="2149">E2779*1.1</f>
        <v>1430000</v>
      </c>
      <c r="G2779" s="540">
        <f t="shared" si="2149"/>
        <v>1573000.0000000002</v>
      </c>
      <c r="H2779" s="132"/>
    </row>
    <row r="2780" spans="1:8" s="289" customFormat="1" ht="15.75" outlineLevel="2">
      <c r="A2780" s="600"/>
      <c r="B2780" s="596"/>
      <c r="C2780" s="443">
        <v>3111000</v>
      </c>
      <c r="D2780" s="445" t="s">
        <v>65</v>
      </c>
      <c r="E2780" s="597">
        <f>E2782+E2781+E2783</f>
        <v>1106000</v>
      </c>
      <c r="F2780" s="540">
        <f t="shared" ref="F2780:G2780" si="2150">E2780*1.1</f>
        <v>1216600</v>
      </c>
      <c r="G2780" s="540">
        <f t="shared" si="2150"/>
        <v>1338260</v>
      </c>
      <c r="H2780" s="132"/>
    </row>
    <row r="2781" spans="1:8" s="300" customFormat="1" ht="15.75" outlineLevel="2">
      <c r="A2781" s="607"/>
      <c r="B2781" s="598"/>
      <c r="C2781" s="448">
        <v>3111001</v>
      </c>
      <c r="D2781" s="449" t="s">
        <v>66</v>
      </c>
      <c r="E2781" s="319">
        <v>450000</v>
      </c>
      <c r="F2781" s="540">
        <f t="shared" ref="F2781:G2781" si="2151">E2781*1.1</f>
        <v>495000.00000000006</v>
      </c>
      <c r="G2781" s="540">
        <f t="shared" si="2151"/>
        <v>544500.00000000012</v>
      </c>
      <c r="H2781" s="132"/>
    </row>
    <row r="2782" spans="1:8" s="289" customFormat="1" ht="15.75" outlineLevel="2">
      <c r="A2782" s="607"/>
      <c r="B2782" s="598"/>
      <c r="C2782" s="448">
        <v>3111002</v>
      </c>
      <c r="D2782" s="449" t="s">
        <v>67</v>
      </c>
      <c r="E2782" s="319">
        <v>360000</v>
      </c>
      <c r="F2782" s="540">
        <f t="shared" ref="F2782:G2782" si="2152">E2782*1.1</f>
        <v>396000.00000000006</v>
      </c>
      <c r="G2782" s="540">
        <f t="shared" si="2152"/>
        <v>435600.00000000012</v>
      </c>
      <c r="H2782" s="132"/>
    </row>
    <row r="2783" spans="1:8" s="289" customFormat="1" ht="15.75" outlineLevel="2">
      <c r="A2783" s="607"/>
      <c r="B2783" s="598"/>
      <c r="C2783" s="448">
        <v>3111009</v>
      </c>
      <c r="D2783" s="449" t="s">
        <v>227</v>
      </c>
      <c r="E2783" s="319">
        <v>296000</v>
      </c>
      <c r="F2783" s="540">
        <f t="shared" ref="F2783:G2783" si="2153">E2783*1.1</f>
        <v>325600</v>
      </c>
      <c r="G2783" s="540">
        <f t="shared" si="2153"/>
        <v>358160</v>
      </c>
      <c r="H2783" s="132"/>
    </row>
    <row r="2784" spans="1:8" s="289" customFormat="1" ht="15.75" outlineLevel="1">
      <c r="A2784" s="600"/>
      <c r="B2784" s="596"/>
      <c r="C2784" s="444" t="s">
        <v>101</v>
      </c>
      <c r="D2784" s="602"/>
      <c r="E2784" s="597">
        <f>E2780+E2778+E2774+E2771+E2762+E2757+E2755+E2768</f>
        <v>12000000</v>
      </c>
      <c r="F2784" s="540">
        <f t="shared" ref="F2784:G2784" si="2154">E2784*1.1</f>
        <v>13200000.000000002</v>
      </c>
      <c r="G2784" s="540">
        <f t="shared" si="2154"/>
        <v>14520000.000000004</v>
      </c>
      <c r="H2784" s="132"/>
    </row>
    <row r="2785" spans="1:8" s="289" customFormat="1" ht="15.75" outlineLevel="1">
      <c r="A2785" s="600"/>
      <c r="B2785" s="596"/>
      <c r="C2785" s="443" t="s">
        <v>80</v>
      </c>
      <c r="D2785" s="492"/>
      <c r="E2785" s="597">
        <f>E2784</f>
        <v>12000000</v>
      </c>
      <c r="F2785" s="540">
        <f t="shared" ref="F2785:G2785" si="2155">E2785*1.1</f>
        <v>13200000.000000002</v>
      </c>
      <c r="G2785" s="540">
        <f t="shared" si="2155"/>
        <v>14520000.000000004</v>
      </c>
      <c r="H2785" s="132"/>
    </row>
    <row r="2786" spans="1:8" s="300" customFormat="1" ht="15.75" outlineLevel="1">
      <c r="A2786" s="600" t="s">
        <v>547</v>
      </c>
      <c r="B2786" s="596"/>
      <c r="C2786" s="443"/>
      <c r="D2786" s="492"/>
      <c r="E2786" s="319"/>
      <c r="F2786" s="540">
        <f t="shared" ref="F2786:G2786" si="2156">E2786*1.1</f>
        <v>0</v>
      </c>
      <c r="G2786" s="540">
        <f t="shared" si="2156"/>
        <v>0</v>
      </c>
      <c r="H2786" s="132"/>
    </row>
    <row r="2787" spans="1:8" s="289" customFormat="1" ht="15.75" outlineLevel="1">
      <c r="A2787" s="600"/>
      <c r="B2787" s="600" t="s">
        <v>98</v>
      </c>
      <c r="C2787" s="443" t="s">
        <v>777</v>
      </c>
      <c r="D2787" s="492"/>
      <c r="E2787" s="319"/>
      <c r="F2787" s="540">
        <f t="shared" ref="F2787:G2787" si="2157">E2787*1.1</f>
        <v>0</v>
      </c>
      <c r="G2787" s="540">
        <f t="shared" si="2157"/>
        <v>0</v>
      </c>
      <c r="H2787" s="132"/>
    </row>
    <row r="2788" spans="1:8" s="300" customFormat="1" ht="30" outlineLevel="3">
      <c r="A2788" s="600"/>
      <c r="B2788" s="596"/>
      <c r="C2788" s="444">
        <v>2210300</v>
      </c>
      <c r="D2788" s="445" t="s">
        <v>23</v>
      </c>
      <c r="E2788" s="597">
        <f>E2789+E2790+E2791</f>
        <v>2722083</v>
      </c>
      <c r="F2788" s="540">
        <f t="shared" ref="F2788:G2788" si="2158">E2788*1.1</f>
        <v>2994291.3000000003</v>
      </c>
      <c r="G2788" s="540">
        <f t="shared" si="2158"/>
        <v>3293720.4300000006</v>
      </c>
      <c r="H2788" s="132"/>
    </row>
    <row r="2789" spans="1:8" s="289" customFormat="1" ht="15.75" outlineLevel="3">
      <c r="A2789" s="607"/>
      <c r="B2789" s="598"/>
      <c r="C2789" s="448">
        <v>2210301</v>
      </c>
      <c r="D2789" s="449" t="s">
        <v>208</v>
      </c>
      <c r="E2789" s="319">
        <v>918422</v>
      </c>
      <c r="F2789" s="540">
        <f t="shared" ref="F2789:G2789" si="2159">E2789*1.1</f>
        <v>1010264.2000000001</v>
      </c>
      <c r="G2789" s="540">
        <f t="shared" si="2159"/>
        <v>1111290.6200000001</v>
      </c>
      <c r="H2789" s="132"/>
    </row>
    <row r="2790" spans="1:8" s="300" customFormat="1" ht="15.75" outlineLevel="3">
      <c r="A2790" s="607"/>
      <c r="B2790" s="598"/>
      <c r="C2790" s="448">
        <v>2210302</v>
      </c>
      <c r="D2790" s="449" t="s">
        <v>25</v>
      </c>
      <c r="E2790" s="319">
        <v>928261</v>
      </c>
      <c r="F2790" s="540">
        <f t="shared" ref="F2790:G2790" si="2160">E2790*1.1</f>
        <v>1021087.1000000001</v>
      </c>
      <c r="G2790" s="540">
        <f t="shared" si="2160"/>
        <v>1123195.8100000003</v>
      </c>
      <c r="H2790" s="132"/>
    </row>
    <row r="2791" spans="1:8" s="289" customFormat="1" ht="15.75" outlineLevel="3">
      <c r="A2791" s="607"/>
      <c r="B2791" s="598"/>
      <c r="C2791" s="448">
        <v>2210303</v>
      </c>
      <c r="D2791" s="494" t="s">
        <v>259</v>
      </c>
      <c r="E2791" s="319">
        <v>875400</v>
      </c>
      <c r="F2791" s="540">
        <f t="shared" ref="F2791:G2791" si="2161">E2791*1.1</f>
        <v>962940.00000000012</v>
      </c>
      <c r="G2791" s="540">
        <f t="shared" si="2161"/>
        <v>1059234.0000000002</v>
      </c>
      <c r="H2791" s="132"/>
    </row>
    <row r="2792" spans="1:8" s="289" customFormat="1" ht="15.75" outlineLevel="3">
      <c r="A2792" s="600"/>
      <c r="B2792" s="596"/>
      <c r="C2792" s="444">
        <v>2210500</v>
      </c>
      <c r="D2792" s="445" t="s">
        <v>30</v>
      </c>
      <c r="E2792" s="597">
        <f>E2793</f>
        <v>620000</v>
      </c>
      <c r="F2792" s="540">
        <f t="shared" ref="F2792:G2792" si="2162">E2792*1.1</f>
        <v>682000</v>
      </c>
      <c r="G2792" s="540">
        <f t="shared" si="2162"/>
        <v>750200.00000000012</v>
      </c>
      <c r="H2792" s="132"/>
    </row>
    <row r="2793" spans="1:8" s="300" customFormat="1" ht="15.75" outlineLevel="3">
      <c r="A2793" s="607"/>
      <c r="B2793" s="598"/>
      <c r="C2793" s="448">
        <v>2210505</v>
      </c>
      <c r="D2793" s="449" t="s">
        <v>213</v>
      </c>
      <c r="E2793" s="319">
        <v>620000</v>
      </c>
      <c r="F2793" s="540">
        <f t="shared" ref="F2793:G2793" si="2163">E2793*1.1</f>
        <v>682000</v>
      </c>
      <c r="G2793" s="540">
        <f t="shared" si="2163"/>
        <v>750200.00000000012</v>
      </c>
      <c r="H2793" s="132"/>
    </row>
    <row r="2794" spans="1:8" s="289" customFormat="1" ht="15.75" outlineLevel="3">
      <c r="A2794" s="600"/>
      <c r="B2794" s="596"/>
      <c r="C2794" s="444">
        <v>2210600</v>
      </c>
      <c r="D2794" s="445" t="s">
        <v>163</v>
      </c>
      <c r="E2794" s="597">
        <f>E2795</f>
        <v>1229826</v>
      </c>
      <c r="F2794" s="540">
        <f t="shared" ref="F2794:G2794" si="2164">E2794*1.1</f>
        <v>1352808.6</v>
      </c>
      <c r="G2794" s="540">
        <f t="shared" si="2164"/>
        <v>1488089.4600000002</v>
      </c>
      <c r="H2794" s="132"/>
    </row>
    <row r="2795" spans="1:8" s="304" customFormat="1" ht="15.75" outlineLevel="3">
      <c r="A2795" s="607"/>
      <c r="B2795" s="598"/>
      <c r="C2795" s="437">
        <v>2210606</v>
      </c>
      <c r="D2795" s="494" t="s">
        <v>778</v>
      </c>
      <c r="E2795" s="319">
        <v>1229826</v>
      </c>
      <c r="F2795" s="540">
        <f t="shared" ref="F2795:G2795" si="2165">E2795*1.1</f>
        <v>1352808.6</v>
      </c>
      <c r="G2795" s="540">
        <f t="shared" si="2165"/>
        <v>1488089.4600000002</v>
      </c>
      <c r="H2795" s="132"/>
    </row>
    <row r="2796" spans="1:8" s="289" customFormat="1" ht="15.75" outlineLevel="3">
      <c r="A2796" s="600"/>
      <c r="B2796" s="596"/>
      <c r="C2796" s="443">
        <v>2211200</v>
      </c>
      <c r="D2796" s="492" t="s">
        <v>53</v>
      </c>
      <c r="E2796" s="597">
        <f>E2797</f>
        <v>2049944</v>
      </c>
      <c r="F2796" s="540">
        <f t="shared" ref="F2796:G2796" si="2166">E2796*1.1</f>
        <v>2254938.4000000004</v>
      </c>
      <c r="G2796" s="540">
        <f t="shared" si="2166"/>
        <v>2480432.2400000007</v>
      </c>
      <c r="H2796" s="132"/>
    </row>
    <row r="2797" spans="1:8" s="300" customFormat="1" ht="15.75" outlineLevel="3">
      <c r="A2797" s="607"/>
      <c r="B2797" s="598"/>
      <c r="C2797" s="437">
        <v>2211201</v>
      </c>
      <c r="D2797" s="494" t="s">
        <v>91</v>
      </c>
      <c r="E2797" s="319">
        <v>2049944</v>
      </c>
      <c r="F2797" s="540">
        <f t="shared" ref="F2797:G2797" si="2167">E2797*1.1</f>
        <v>2254938.4000000004</v>
      </c>
      <c r="G2797" s="540">
        <f t="shared" si="2167"/>
        <v>2480432.2400000007</v>
      </c>
      <c r="H2797" s="132"/>
    </row>
    <row r="2798" spans="1:8" s="300" customFormat="1" ht="30" outlineLevel="3">
      <c r="A2798" s="607"/>
      <c r="B2798" s="598"/>
      <c r="C2798" s="444">
        <v>2220100</v>
      </c>
      <c r="D2798" s="445" t="s">
        <v>224</v>
      </c>
      <c r="E2798" s="597">
        <f>E2800+E2799</f>
        <v>1498000</v>
      </c>
      <c r="F2798" s="540">
        <f t="shared" ref="F2798:G2798" si="2168">E2798*1.1</f>
        <v>1647800.0000000002</v>
      </c>
      <c r="G2798" s="540">
        <f t="shared" si="2168"/>
        <v>1812580.0000000005</v>
      </c>
      <c r="H2798" s="132"/>
    </row>
    <row r="2799" spans="1:8" s="300" customFormat="1" ht="15.75" outlineLevel="3">
      <c r="A2799" s="607"/>
      <c r="B2799" s="598"/>
      <c r="C2799" s="448">
        <v>2220101</v>
      </c>
      <c r="D2799" s="449" t="s">
        <v>225</v>
      </c>
      <c r="E2799" s="319">
        <v>650000</v>
      </c>
      <c r="F2799" s="540">
        <f t="shared" ref="F2799:G2799" si="2169">E2799*1.1</f>
        <v>715000</v>
      </c>
      <c r="G2799" s="540">
        <f t="shared" si="2169"/>
        <v>786500.00000000012</v>
      </c>
      <c r="H2799" s="132"/>
    </row>
    <row r="2800" spans="1:8" s="300" customFormat="1" ht="15.75" outlineLevel="3">
      <c r="A2800" s="607"/>
      <c r="B2800" s="598"/>
      <c r="C2800" s="448">
        <v>2220105</v>
      </c>
      <c r="D2800" s="449" t="s">
        <v>64</v>
      </c>
      <c r="E2800" s="319">
        <v>848000</v>
      </c>
      <c r="F2800" s="540">
        <f t="shared" ref="F2800:G2800" si="2170">E2800*1.1</f>
        <v>932800.00000000012</v>
      </c>
      <c r="G2800" s="540">
        <f t="shared" si="2170"/>
        <v>1026080.0000000002</v>
      </c>
      <c r="H2800" s="132"/>
    </row>
    <row r="2801" spans="1:8" s="300" customFormat="1" ht="15.75" outlineLevel="2">
      <c r="A2801" s="600"/>
      <c r="B2801" s="596"/>
      <c r="C2801" s="444" t="s">
        <v>101</v>
      </c>
      <c r="D2801" s="602"/>
      <c r="E2801" s="597">
        <f>E2794+E2796+E2798+E2788+E2792</f>
        <v>8119853</v>
      </c>
      <c r="F2801" s="540">
        <f t="shared" ref="F2801:G2801" si="2171">E2801*1.1</f>
        <v>8931838.3000000007</v>
      </c>
      <c r="G2801" s="540">
        <f t="shared" si="2171"/>
        <v>9825022.1300000008</v>
      </c>
      <c r="H2801" s="132"/>
    </row>
    <row r="2802" spans="1:8" s="300" customFormat="1" ht="15.75" outlineLevel="2">
      <c r="A2802" s="600"/>
      <c r="B2802" s="596"/>
      <c r="C2802" s="444"/>
      <c r="D2802" s="602"/>
      <c r="E2802" s="319"/>
      <c r="F2802" s="540">
        <f t="shared" ref="F2802:G2802" si="2172">E2802*1.1</f>
        <v>0</v>
      </c>
      <c r="G2802" s="540">
        <f t="shared" si="2172"/>
        <v>0</v>
      </c>
      <c r="H2802" s="132"/>
    </row>
    <row r="2803" spans="1:8" s="300" customFormat="1" ht="15.75" outlineLevel="2">
      <c r="A2803" s="600"/>
      <c r="B2803" s="596"/>
      <c r="C2803" s="444"/>
      <c r="D2803" s="602"/>
      <c r="E2803" s="319"/>
      <c r="F2803" s="540">
        <f t="shared" ref="F2803:G2803" si="2173">E2803*1.1</f>
        <v>0</v>
      </c>
      <c r="G2803" s="540">
        <f t="shared" si="2173"/>
        <v>0</v>
      </c>
      <c r="H2803" s="132"/>
    </row>
    <row r="2804" spans="1:8" s="289" customFormat="1" ht="15.75" outlineLevel="2">
      <c r="A2804" s="600"/>
      <c r="B2804" s="596"/>
      <c r="C2804" s="444"/>
      <c r="D2804" s="602" t="s">
        <v>184</v>
      </c>
      <c r="E2804" s="319"/>
      <c r="F2804" s="540">
        <f t="shared" ref="F2804:G2804" si="2174">E2804*1.1</f>
        <v>0</v>
      </c>
      <c r="G2804" s="540">
        <f t="shared" si="2174"/>
        <v>0</v>
      </c>
      <c r="H2804" s="132"/>
    </row>
    <row r="2805" spans="1:8" s="300" customFormat="1" ht="15.75" outlineLevel="3">
      <c r="A2805" s="600"/>
      <c r="B2805" s="596"/>
      <c r="C2805" s="444">
        <v>2640400</v>
      </c>
      <c r="D2805" s="602" t="s">
        <v>528</v>
      </c>
      <c r="E2805" s="597">
        <f>E2806</f>
        <v>336118</v>
      </c>
      <c r="F2805" s="540">
        <f t="shared" ref="F2805:G2805" si="2175">E2805*1.1</f>
        <v>369729.80000000005</v>
      </c>
      <c r="G2805" s="540">
        <f t="shared" si="2175"/>
        <v>406702.78000000009</v>
      </c>
      <c r="H2805" s="132"/>
    </row>
    <row r="2806" spans="1:8" s="289" customFormat="1" ht="15.75" outlineLevel="3">
      <c r="A2806" s="607"/>
      <c r="B2806" s="598"/>
      <c r="C2806" s="448">
        <v>2640499</v>
      </c>
      <c r="D2806" s="494" t="s">
        <v>779</v>
      </c>
      <c r="E2806" s="319">
        <v>336118</v>
      </c>
      <c r="F2806" s="540">
        <f t="shared" ref="F2806:G2806" si="2176">E2806*1.1</f>
        <v>369729.80000000005</v>
      </c>
      <c r="G2806" s="540">
        <f t="shared" si="2176"/>
        <v>406702.78000000009</v>
      </c>
      <c r="H2806" s="132"/>
    </row>
    <row r="2807" spans="1:8" s="300" customFormat="1" ht="15.75" outlineLevel="3">
      <c r="A2807" s="600"/>
      <c r="B2807" s="596"/>
      <c r="C2807" s="444" t="s">
        <v>764</v>
      </c>
      <c r="D2807" s="445" t="s">
        <v>305</v>
      </c>
      <c r="E2807" s="597">
        <f>E2808</f>
        <v>5500000</v>
      </c>
      <c r="F2807" s="540">
        <f t="shared" ref="F2807:G2807" si="2177">E2807*1.1</f>
        <v>6050000.0000000009</v>
      </c>
      <c r="G2807" s="540">
        <f t="shared" si="2177"/>
        <v>6655000.0000000019</v>
      </c>
      <c r="H2807" s="132"/>
    </row>
    <row r="2808" spans="1:8" s="289" customFormat="1" ht="45" outlineLevel="3">
      <c r="A2808" s="607"/>
      <c r="B2808" s="598"/>
      <c r="C2808" s="512">
        <v>3110504</v>
      </c>
      <c r="D2808" s="527" t="s">
        <v>780</v>
      </c>
      <c r="E2808" s="319">
        <v>5500000</v>
      </c>
      <c r="F2808" s="540">
        <f t="shared" ref="F2808:G2808" si="2178">E2808*1.1</f>
        <v>6050000.0000000009</v>
      </c>
      <c r="G2808" s="540">
        <f t="shared" si="2178"/>
        <v>6655000.0000000019</v>
      </c>
      <c r="H2808" s="132"/>
    </row>
    <row r="2809" spans="1:8" s="289" customFormat="1" ht="15.75" outlineLevel="2">
      <c r="A2809" s="595"/>
      <c r="B2809" s="595"/>
      <c r="C2809" s="443" t="s">
        <v>201</v>
      </c>
      <c r="D2809" s="492"/>
      <c r="E2809" s="597">
        <f>E2805+E2807</f>
        <v>5836118</v>
      </c>
      <c r="F2809" s="540">
        <f t="shared" ref="F2809:G2809" si="2179">E2809*1.1</f>
        <v>6419729.8000000007</v>
      </c>
      <c r="G2809" s="540">
        <f t="shared" si="2179"/>
        <v>7061702.7800000012</v>
      </c>
      <c r="H2809" s="132"/>
    </row>
    <row r="2810" spans="1:8" s="289" customFormat="1" ht="15.75" outlineLevel="1">
      <c r="A2810" s="595"/>
      <c r="B2810" s="595"/>
      <c r="C2810" s="443" t="s">
        <v>80</v>
      </c>
      <c r="D2810" s="492"/>
      <c r="E2810" s="597">
        <f>E2809+E2801</f>
        <v>13955971</v>
      </c>
      <c r="F2810" s="540">
        <f t="shared" ref="F2810:G2810" si="2180">E2810*1.1</f>
        <v>15351568.100000001</v>
      </c>
      <c r="G2810" s="540">
        <f t="shared" si="2180"/>
        <v>16886724.910000004</v>
      </c>
      <c r="H2810" s="132"/>
    </row>
    <row r="2811" spans="1:8" s="289" customFormat="1">
      <c r="A2811" s="595"/>
      <c r="B2811" s="595"/>
      <c r="C2811" s="613"/>
      <c r="D2811" s="317" t="s">
        <v>101</v>
      </c>
      <c r="E2811" s="500">
        <f>E2801+E2784+E2751+E2735+E2708+E2677+E2651+E2627+E2599+E2569+E2556+E2538</f>
        <v>132097936</v>
      </c>
      <c r="F2811" s="500">
        <f t="shared" ref="F2811:G2811" si="2181">F2801+F2784+F2751+F2735+F2708+F2677+F2651+F2627+F2599+F2569+F2556+F2538</f>
        <v>145307729.60000002</v>
      </c>
      <c r="G2811" s="500">
        <f t="shared" si="2181"/>
        <v>159838502.56</v>
      </c>
      <c r="H2811" s="132"/>
    </row>
    <row r="2812" spans="1:8" s="289" customFormat="1">
      <c r="A2812" s="595"/>
      <c r="B2812" s="595"/>
      <c r="C2812" s="613"/>
      <c r="D2812" s="317" t="s">
        <v>201</v>
      </c>
      <c r="E2812" s="500">
        <f>E2809+E2717+E2682+E2634+E2605</f>
        <v>373779883</v>
      </c>
      <c r="F2812" s="500">
        <f t="shared" ref="F2812:G2812" si="2182">F2809+F2717+F2682+F2634+F2605</f>
        <v>411157871.30000001</v>
      </c>
      <c r="G2812" s="500">
        <f t="shared" si="2182"/>
        <v>452273658.43000007</v>
      </c>
      <c r="H2812" s="132"/>
    </row>
    <row r="2813" spans="1:8" s="289" customFormat="1">
      <c r="A2813" s="595"/>
      <c r="B2813" s="595"/>
      <c r="C2813" s="812" t="s">
        <v>781</v>
      </c>
      <c r="D2813" s="812"/>
      <c r="E2813" s="500">
        <f>E2812+E2811</f>
        <v>505877819</v>
      </c>
      <c r="F2813" s="500">
        <f t="shared" ref="F2813:G2813" si="2183">F2812+F2811</f>
        <v>556465600.9000001</v>
      </c>
      <c r="G2813" s="500">
        <f t="shared" si="2183"/>
        <v>612112160.99000001</v>
      </c>
      <c r="H2813" s="132"/>
    </row>
    <row r="2814" spans="1:8" ht="15.75">
      <c r="A2814" s="324"/>
      <c r="B2814" s="324"/>
      <c r="C2814" s="324"/>
      <c r="D2814" s="324"/>
      <c r="E2814" s="495"/>
      <c r="F2814" s="540"/>
      <c r="G2814" s="540"/>
    </row>
    <row r="2815" spans="1:8" ht="15.75">
      <c r="A2815" s="324"/>
      <c r="B2815" s="324"/>
      <c r="C2815" s="324"/>
      <c r="D2815" s="324"/>
      <c r="E2815" s="495"/>
      <c r="F2815" s="540"/>
      <c r="G2815" s="540"/>
    </row>
    <row r="2816" spans="1:8" ht="15.75">
      <c r="A2816" s="324"/>
      <c r="B2816" s="324"/>
      <c r="C2816" s="324"/>
      <c r="D2816" s="324"/>
      <c r="E2816" s="495"/>
      <c r="F2816" s="540"/>
      <c r="G2816" s="540"/>
    </row>
    <row r="2817" spans="1:7" ht="15.75">
      <c r="A2817" s="315"/>
      <c r="B2817" s="315"/>
      <c r="C2817" s="438" t="s">
        <v>782</v>
      </c>
      <c r="D2817" s="490"/>
      <c r="E2817" s="432"/>
      <c r="F2817" s="540"/>
      <c r="G2817" s="540"/>
    </row>
    <row r="2818" spans="1:7" ht="15.75" outlineLevel="1">
      <c r="A2818" s="389" t="s">
        <v>204</v>
      </c>
      <c r="B2818" s="614"/>
      <c r="C2818" s="443" t="s">
        <v>783</v>
      </c>
      <c r="D2818" s="492"/>
      <c r="E2818" s="495"/>
      <c r="F2818" s="540">
        <f t="shared" ref="F2818:G2818" si="2184">E2818*1.1</f>
        <v>0</v>
      </c>
      <c r="G2818" s="540">
        <f t="shared" si="2184"/>
        <v>0</v>
      </c>
    </row>
    <row r="2819" spans="1:7" ht="15.75" outlineLevel="1">
      <c r="A2819" s="614"/>
      <c r="B2819" s="614" t="s">
        <v>98</v>
      </c>
      <c r="C2819" s="443" t="s">
        <v>784</v>
      </c>
      <c r="D2819" s="492"/>
      <c r="E2819" s="495"/>
      <c r="F2819" s="540">
        <f t="shared" ref="F2819:G2819" si="2185">E2819*1.1</f>
        <v>0</v>
      </c>
      <c r="G2819" s="540">
        <f t="shared" si="2185"/>
        <v>0</v>
      </c>
    </row>
    <row r="2820" spans="1:7" ht="15.75" outlineLevel="2">
      <c r="A2820" s="328"/>
      <c r="B2820" s="384"/>
      <c r="C2820" s="443">
        <v>2110100</v>
      </c>
      <c r="D2820" s="492" t="s">
        <v>232</v>
      </c>
      <c r="E2820" s="615">
        <f>SUM(E2821)</f>
        <v>90018005</v>
      </c>
      <c r="F2820" s="540">
        <f t="shared" ref="F2820:G2820" si="2186">E2820*1.1</f>
        <v>99019805.500000015</v>
      </c>
      <c r="G2820" s="540">
        <f t="shared" si="2186"/>
        <v>108921786.05000003</v>
      </c>
    </row>
    <row r="2821" spans="1:7" ht="15.75" outlineLevel="2">
      <c r="A2821" s="614"/>
      <c r="B2821" s="614"/>
      <c r="C2821" s="437">
        <v>2110101</v>
      </c>
      <c r="D2821" s="494" t="s">
        <v>234</v>
      </c>
      <c r="E2821" s="495">
        <f>76942160+13075845</f>
        <v>90018005</v>
      </c>
      <c r="F2821" s="540">
        <f t="shared" ref="F2821:G2821" si="2187">E2821*1.1</f>
        <v>99019805.500000015</v>
      </c>
      <c r="G2821" s="540">
        <f t="shared" si="2187"/>
        <v>108921786.05000003</v>
      </c>
    </row>
    <row r="2822" spans="1:7" ht="15.75" outlineLevel="2">
      <c r="A2822" s="384"/>
      <c r="B2822" s="384"/>
      <c r="C2822" s="443">
        <v>2210100</v>
      </c>
      <c r="D2822" s="492" t="s">
        <v>235</v>
      </c>
      <c r="E2822" s="615">
        <f>SUM(E2823:E2824)</f>
        <v>216000</v>
      </c>
      <c r="F2822" s="540">
        <f t="shared" ref="F2822:G2822" si="2188">E2822*1.1</f>
        <v>237600.00000000003</v>
      </c>
      <c r="G2822" s="540">
        <f t="shared" si="2188"/>
        <v>261360.00000000006</v>
      </c>
    </row>
    <row r="2823" spans="1:7" ht="15.75" outlineLevel="2">
      <c r="A2823" s="614"/>
      <c r="B2823" s="614"/>
      <c r="C2823" s="437">
        <v>2210101</v>
      </c>
      <c r="D2823" s="494" t="s">
        <v>17</v>
      </c>
      <c r="E2823" s="495">
        <v>187000</v>
      </c>
      <c r="F2823" s="540">
        <f t="shared" ref="F2823:G2823" si="2189">E2823*1.1</f>
        <v>205700.00000000003</v>
      </c>
      <c r="G2823" s="540">
        <f t="shared" si="2189"/>
        <v>226270.00000000006</v>
      </c>
    </row>
    <row r="2824" spans="1:7" ht="15.75" outlineLevel="2">
      <c r="A2824" s="614"/>
      <c r="B2824" s="614"/>
      <c r="C2824" s="437">
        <v>2210102</v>
      </c>
      <c r="D2824" s="494" t="s">
        <v>18</v>
      </c>
      <c r="E2824" s="495">
        <v>29000</v>
      </c>
      <c r="F2824" s="540">
        <f t="shared" ref="F2824:G2824" si="2190">E2824*1.1</f>
        <v>31900.000000000004</v>
      </c>
      <c r="G2824" s="540">
        <f t="shared" si="2190"/>
        <v>35090.000000000007</v>
      </c>
    </row>
    <row r="2825" spans="1:7" ht="15.75" outlineLevel="2">
      <c r="A2825" s="384"/>
      <c r="B2825" s="384"/>
      <c r="C2825" s="443">
        <v>2210200</v>
      </c>
      <c r="D2825" s="492" t="s">
        <v>19</v>
      </c>
      <c r="E2825" s="615">
        <f>SUM(E2826:E2828)</f>
        <v>145400</v>
      </c>
      <c r="F2825" s="540">
        <f t="shared" ref="F2825:G2825" si="2191">E2825*1.1</f>
        <v>159940</v>
      </c>
      <c r="G2825" s="540">
        <f t="shared" si="2191"/>
        <v>175934</v>
      </c>
    </row>
    <row r="2826" spans="1:7" ht="15.75" outlineLevel="2">
      <c r="A2826" s="614"/>
      <c r="B2826" s="614"/>
      <c r="C2826" s="437">
        <v>2210201</v>
      </c>
      <c r="D2826" s="494" t="s">
        <v>236</v>
      </c>
      <c r="E2826" s="495">
        <f>58000+10000</f>
        <v>68000</v>
      </c>
      <c r="F2826" s="540">
        <f t="shared" ref="F2826:G2826" si="2192">E2826*1.1</f>
        <v>74800</v>
      </c>
      <c r="G2826" s="540">
        <f t="shared" si="2192"/>
        <v>82280</v>
      </c>
    </row>
    <row r="2827" spans="1:7" ht="15.75" outlineLevel="2">
      <c r="A2827" s="614"/>
      <c r="B2827" s="614"/>
      <c r="C2827" s="437">
        <v>2210202</v>
      </c>
      <c r="D2827" s="616" t="s">
        <v>21</v>
      </c>
      <c r="E2827" s="495">
        <v>70000</v>
      </c>
      <c r="F2827" s="540">
        <f t="shared" ref="F2827:G2827" si="2193">E2827*1.1</f>
        <v>77000</v>
      </c>
      <c r="G2827" s="540">
        <f t="shared" si="2193"/>
        <v>84700</v>
      </c>
    </row>
    <row r="2828" spans="1:7" ht="15.75" outlineLevel="2">
      <c r="A2828" s="614"/>
      <c r="B2828" s="614"/>
      <c r="C2828" s="437">
        <v>2210203</v>
      </c>
      <c r="D2828" s="494" t="s">
        <v>785</v>
      </c>
      <c r="E2828" s="495">
        <v>7400</v>
      </c>
      <c r="F2828" s="540">
        <f t="shared" ref="F2828:G2828" si="2194">E2828*1.1</f>
        <v>8140.0000000000009</v>
      </c>
      <c r="G2828" s="540">
        <f t="shared" si="2194"/>
        <v>8954.0000000000018</v>
      </c>
    </row>
    <row r="2829" spans="1:7" ht="30" outlineLevel="2">
      <c r="A2829" s="384"/>
      <c r="B2829" s="384"/>
      <c r="C2829" s="443">
        <v>2210300</v>
      </c>
      <c r="D2829" s="492" t="s">
        <v>23</v>
      </c>
      <c r="E2829" s="615">
        <f>SUM(E2830:E2832)</f>
        <v>1044352.14</v>
      </c>
      <c r="F2829" s="540">
        <f t="shared" ref="F2829:G2829" si="2195">E2829*1.1</f>
        <v>1148787.3540000001</v>
      </c>
      <c r="G2829" s="540">
        <f t="shared" si="2195"/>
        <v>1263666.0894000002</v>
      </c>
    </row>
    <row r="2830" spans="1:7" ht="15.75" outlineLevel="2">
      <c r="A2830" s="614"/>
      <c r="B2830" s="614"/>
      <c r="C2830" s="437">
        <v>2210301</v>
      </c>
      <c r="D2830" s="494" t="s">
        <v>208</v>
      </c>
      <c r="E2830" s="495">
        <f>263352.14+100000</f>
        <v>363352.14</v>
      </c>
      <c r="F2830" s="540">
        <f t="shared" ref="F2830:G2830" si="2196">E2830*1.1</f>
        <v>399687.35400000005</v>
      </c>
      <c r="G2830" s="540">
        <f t="shared" si="2196"/>
        <v>439656.08940000011</v>
      </c>
    </row>
    <row r="2831" spans="1:7" ht="15.75" outlineLevel="2">
      <c r="A2831" s="614"/>
      <c r="B2831" s="614"/>
      <c r="C2831" s="437">
        <v>2210302</v>
      </c>
      <c r="D2831" s="494" t="s">
        <v>25</v>
      </c>
      <c r="E2831" s="495">
        <f>235000+100000</f>
        <v>335000</v>
      </c>
      <c r="F2831" s="540">
        <f t="shared" ref="F2831:G2831" si="2197">E2831*1.1</f>
        <v>368500.00000000006</v>
      </c>
      <c r="G2831" s="540">
        <f t="shared" si="2197"/>
        <v>405350.00000000012</v>
      </c>
    </row>
    <row r="2832" spans="1:7" ht="15.75" outlineLevel="2">
      <c r="A2832" s="614"/>
      <c r="B2832" s="614"/>
      <c r="C2832" s="437">
        <v>2210303</v>
      </c>
      <c r="D2832" s="494" t="s">
        <v>786</v>
      </c>
      <c r="E2832" s="495">
        <f>206000+100000+40000</f>
        <v>346000</v>
      </c>
      <c r="F2832" s="540">
        <f t="shared" ref="F2832:G2832" si="2198">E2832*1.1</f>
        <v>380600.00000000006</v>
      </c>
      <c r="G2832" s="540">
        <f t="shared" si="2198"/>
        <v>418660.00000000012</v>
      </c>
    </row>
    <row r="2833" spans="1:7" ht="30" outlineLevel="2">
      <c r="A2833" s="384"/>
      <c r="B2833" s="384"/>
      <c r="C2833" s="443">
        <v>2210400</v>
      </c>
      <c r="D2833" s="492" t="s">
        <v>209</v>
      </c>
      <c r="E2833" s="615">
        <f>SUM(E2834:E2836)</f>
        <v>511100</v>
      </c>
      <c r="F2833" s="540">
        <f t="shared" ref="F2833:G2833" si="2199">E2833*1.1</f>
        <v>562210</v>
      </c>
      <c r="G2833" s="540">
        <f t="shared" si="2199"/>
        <v>618431</v>
      </c>
    </row>
    <row r="2834" spans="1:7" ht="15.75" outlineLevel="2">
      <c r="A2834" s="614"/>
      <c r="B2834" s="614"/>
      <c r="C2834" s="437">
        <v>2210401</v>
      </c>
      <c r="D2834" s="494" t="s">
        <v>210</v>
      </c>
      <c r="E2834" s="495">
        <f>132000+200000-100000</f>
        <v>232000</v>
      </c>
      <c r="F2834" s="540">
        <f t="shared" ref="F2834:G2834" si="2200">E2834*1.1</f>
        <v>255200.00000000003</v>
      </c>
      <c r="G2834" s="540">
        <f t="shared" si="2200"/>
        <v>280720.00000000006</v>
      </c>
    </row>
    <row r="2835" spans="1:7" ht="15.75" outlineLevel="2">
      <c r="A2835" s="614"/>
      <c r="B2835" s="614"/>
      <c r="C2835" s="437">
        <v>2210402</v>
      </c>
      <c r="D2835" s="494" t="s">
        <v>211</v>
      </c>
      <c r="E2835" s="495">
        <f>174000+150000-100000</f>
        <v>224000</v>
      </c>
      <c r="F2835" s="540">
        <f t="shared" ref="F2835:G2835" si="2201">E2835*1.1</f>
        <v>246400.00000000003</v>
      </c>
      <c r="G2835" s="540">
        <f t="shared" si="2201"/>
        <v>271040.00000000006</v>
      </c>
    </row>
    <row r="2836" spans="1:7" ht="15.75" outlineLevel="2">
      <c r="A2836" s="614"/>
      <c r="B2836" s="614"/>
      <c r="C2836" s="437">
        <v>2210404</v>
      </c>
      <c r="D2836" s="494" t="s">
        <v>787</v>
      </c>
      <c r="E2836" s="495">
        <v>55100</v>
      </c>
      <c r="F2836" s="540">
        <f t="shared" ref="F2836:G2836" si="2202">E2836*1.1</f>
        <v>60610.000000000007</v>
      </c>
      <c r="G2836" s="540">
        <f t="shared" si="2202"/>
        <v>66671.000000000015</v>
      </c>
    </row>
    <row r="2837" spans="1:7" ht="15.75" outlineLevel="2">
      <c r="A2837" s="384"/>
      <c r="B2837" s="384"/>
      <c r="C2837" s="443">
        <v>2210500</v>
      </c>
      <c r="D2837" s="617" t="s">
        <v>788</v>
      </c>
      <c r="E2837" s="615">
        <f>SUM(E2838:E2840)</f>
        <v>1370000</v>
      </c>
      <c r="F2837" s="540">
        <f t="shared" ref="F2837:G2837" si="2203">E2837*1.1</f>
        <v>1507000.0000000002</v>
      </c>
      <c r="G2837" s="540">
        <f t="shared" si="2203"/>
        <v>1657700.0000000005</v>
      </c>
    </row>
    <row r="2838" spans="1:7" ht="15.75" outlineLevel="2">
      <c r="A2838" s="614"/>
      <c r="B2838" s="614"/>
      <c r="C2838" s="437">
        <v>2210503</v>
      </c>
      <c r="D2838" s="618" t="s">
        <v>789</v>
      </c>
      <c r="E2838" s="495">
        <v>145000</v>
      </c>
      <c r="F2838" s="540">
        <f t="shared" ref="F2838:G2838" si="2204">E2838*1.1</f>
        <v>159500</v>
      </c>
      <c r="G2838" s="540">
        <f t="shared" si="2204"/>
        <v>175450</v>
      </c>
    </row>
    <row r="2839" spans="1:7" ht="15.75" outlineLevel="2">
      <c r="A2839" s="614"/>
      <c r="B2839" s="614"/>
      <c r="C2839" s="437">
        <v>2210505</v>
      </c>
      <c r="D2839" s="618" t="s">
        <v>790</v>
      </c>
      <c r="E2839" s="495">
        <f>1550000-250000-400000+200000</f>
        <v>1100000</v>
      </c>
      <c r="F2839" s="540">
        <f t="shared" ref="F2839:G2839" si="2205">E2839*1.1</f>
        <v>1210000</v>
      </c>
      <c r="G2839" s="540">
        <f t="shared" si="2205"/>
        <v>1331000</v>
      </c>
    </row>
    <row r="2840" spans="1:7" ht="15.75" outlineLevel="2">
      <c r="A2840" s="614"/>
      <c r="B2840" s="614"/>
      <c r="C2840" s="437">
        <v>2210599</v>
      </c>
      <c r="D2840" s="618" t="s">
        <v>791</v>
      </c>
      <c r="E2840" s="495">
        <f>80000+45000</f>
        <v>125000</v>
      </c>
      <c r="F2840" s="540">
        <f t="shared" ref="F2840:G2840" si="2206">E2840*1.1</f>
        <v>137500</v>
      </c>
      <c r="G2840" s="540">
        <f t="shared" si="2206"/>
        <v>151250</v>
      </c>
    </row>
    <row r="2841" spans="1:7" ht="15.75" outlineLevel="2">
      <c r="A2841" s="384"/>
      <c r="B2841" s="384"/>
      <c r="C2841" s="443">
        <v>2210700</v>
      </c>
      <c r="D2841" s="619" t="s">
        <v>34</v>
      </c>
      <c r="E2841" s="615">
        <f>SUM(E2842:E2845)</f>
        <v>975000</v>
      </c>
      <c r="F2841" s="540">
        <f t="shared" ref="F2841:G2841" si="2207">E2841*1.1</f>
        <v>1072500</v>
      </c>
      <c r="G2841" s="540">
        <f t="shared" si="2207"/>
        <v>1179750</v>
      </c>
    </row>
    <row r="2842" spans="1:7" ht="15.75" outlineLevel="2">
      <c r="A2842" s="614"/>
      <c r="B2842" s="614"/>
      <c r="C2842" s="437">
        <v>2210701</v>
      </c>
      <c r="D2842" s="620" t="s">
        <v>35</v>
      </c>
      <c r="E2842" s="495">
        <v>153000</v>
      </c>
      <c r="F2842" s="540">
        <f t="shared" ref="F2842:G2842" si="2208">E2842*1.1</f>
        <v>168300</v>
      </c>
      <c r="G2842" s="540">
        <f t="shared" si="2208"/>
        <v>185130.00000000003</v>
      </c>
    </row>
    <row r="2843" spans="1:7" ht="15.75" outlineLevel="2">
      <c r="A2843" s="614"/>
      <c r="B2843" s="614"/>
      <c r="C2843" s="437">
        <v>2210710</v>
      </c>
      <c r="D2843" s="620" t="s">
        <v>38</v>
      </c>
      <c r="E2843" s="495">
        <v>104000</v>
      </c>
      <c r="F2843" s="540">
        <f t="shared" ref="F2843:G2843" si="2209">E2843*1.1</f>
        <v>114400.00000000001</v>
      </c>
      <c r="G2843" s="540">
        <f t="shared" si="2209"/>
        <v>125840.00000000003</v>
      </c>
    </row>
    <row r="2844" spans="1:7" ht="15.75" outlineLevel="2">
      <c r="A2844" s="614"/>
      <c r="B2844" s="614"/>
      <c r="C2844" s="437">
        <v>2210715</v>
      </c>
      <c r="D2844" s="620" t="s">
        <v>39</v>
      </c>
      <c r="E2844" s="495">
        <f>153000+261000+200000</f>
        <v>614000</v>
      </c>
      <c r="F2844" s="540">
        <f t="shared" ref="F2844:G2844" si="2210">E2844*1.1</f>
        <v>675400</v>
      </c>
      <c r="G2844" s="540">
        <f t="shared" si="2210"/>
        <v>742940.00000000012</v>
      </c>
    </row>
    <row r="2845" spans="1:7" ht="15.75" outlineLevel="2">
      <c r="A2845" s="614"/>
      <c r="B2845" s="614"/>
      <c r="C2845" s="437">
        <v>2210799</v>
      </c>
      <c r="D2845" s="620" t="s">
        <v>792</v>
      </c>
      <c r="E2845" s="495">
        <v>104000</v>
      </c>
      <c r="F2845" s="540">
        <f t="shared" ref="F2845:G2845" si="2211">E2845*1.1</f>
        <v>114400.00000000001</v>
      </c>
      <c r="G2845" s="540">
        <f t="shared" si="2211"/>
        <v>125840.00000000003</v>
      </c>
    </row>
    <row r="2846" spans="1:7" ht="15.75" outlineLevel="2">
      <c r="A2846" s="384"/>
      <c r="B2846" s="384"/>
      <c r="C2846" s="443">
        <v>2210800</v>
      </c>
      <c r="D2846" s="492" t="s">
        <v>41</v>
      </c>
      <c r="E2846" s="615">
        <f>SUM(E2847:E2848)</f>
        <v>372000</v>
      </c>
      <c r="F2846" s="540">
        <f t="shared" ref="F2846:G2846" si="2212">E2846*1.1</f>
        <v>409200.00000000006</v>
      </c>
      <c r="G2846" s="540">
        <f t="shared" si="2212"/>
        <v>450120.00000000012</v>
      </c>
    </row>
    <row r="2847" spans="1:7" ht="30" outlineLevel="2">
      <c r="A2847" s="614"/>
      <c r="B2847" s="614"/>
      <c r="C2847" s="437">
        <v>2210801</v>
      </c>
      <c r="D2847" s="494" t="s">
        <v>240</v>
      </c>
      <c r="E2847" s="495">
        <v>240000</v>
      </c>
      <c r="F2847" s="540">
        <f t="shared" ref="F2847:G2847" si="2213">E2847*1.1</f>
        <v>264000</v>
      </c>
      <c r="G2847" s="540">
        <f t="shared" si="2213"/>
        <v>290400</v>
      </c>
    </row>
    <row r="2848" spans="1:7" ht="15.75" outlineLevel="2">
      <c r="A2848" s="614"/>
      <c r="B2848" s="614"/>
      <c r="C2848" s="437">
        <v>2210802</v>
      </c>
      <c r="D2848" s="494" t="s">
        <v>793</v>
      </c>
      <c r="E2848" s="495">
        <v>132000</v>
      </c>
      <c r="F2848" s="540">
        <f t="shared" ref="F2848:G2848" si="2214">E2848*1.1</f>
        <v>145200</v>
      </c>
      <c r="G2848" s="540">
        <f t="shared" si="2214"/>
        <v>159720</v>
      </c>
    </row>
    <row r="2849" spans="1:8" ht="15.75" outlineLevel="2">
      <c r="A2849" s="384"/>
      <c r="B2849" s="384"/>
      <c r="C2849" s="443">
        <v>2211100</v>
      </c>
      <c r="D2849" s="492" t="s">
        <v>49</v>
      </c>
      <c r="E2849" s="615">
        <f>SUM(E2850:E2852)</f>
        <v>867400</v>
      </c>
      <c r="F2849" s="540">
        <f t="shared" ref="F2849:G2849" si="2215">E2849*1.1</f>
        <v>954140.00000000012</v>
      </c>
      <c r="G2849" s="540">
        <f t="shared" si="2215"/>
        <v>1049554.0000000002</v>
      </c>
    </row>
    <row r="2850" spans="1:8" ht="30" outlineLevel="2">
      <c r="A2850" s="614"/>
      <c r="B2850" s="614"/>
      <c r="C2850" s="437">
        <v>2211101</v>
      </c>
      <c r="D2850" s="494" t="s">
        <v>220</v>
      </c>
      <c r="E2850" s="495">
        <f>145000+100000-31000+150000</f>
        <v>364000</v>
      </c>
      <c r="F2850" s="540">
        <f t="shared" ref="F2850:G2850" si="2216">E2850*1.1</f>
        <v>400400.00000000006</v>
      </c>
      <c r="G2850" s="540">
        <f t="shared" si="2216"/>
        <v>440440.00000000012</v>
      </c>
    </row>
    <row r="2851" spans="1:8" ht="15.75" outlineLevel="2">
      <c r="A2851" s="614"/>
      <c r="B2851" s="614"/>
      <c r="C2851" s="437">
        <v>2211102</v>
      </c>
      <c r="D2851" s="494" t="s">
        <v>243</v>
      </c>
      <c r="E2851" s="495">
        <f>83400+100000+20000+100000</f>
        <v>303400</v>
      </c>
      <c r="F2851" s="540">
        <f t="shared" ref="F2851:G2851" si="2217">E2851*1.1</f>
        <v>333740</v>
      </c>
      <c r="G2851" s="540">
        <f t="shared" si="2217"/>
        <v>367114.00000000006</v>
      </c>
    </row>
    <row r="2852" spans="1:8" ht="15.75" outlineLevel="2">
      <c r="A2852" s="614"/>
      <c r="B2852" s="614"/>
      <c r="C2852" s="437">
        <v>2211103</v>
      </c>
      <c r="D2852" s="494" t="s">
        <v>52</v>
      </c>
      <c r="E2852" s="495">
        <v>200000</v>
      </c>
      <c r="F2852" s="540">
        <f t="shared" ref="F2852:G2852" si="2218">E2852*1.1</f>
        <v>220000.00000000003</v>
      </c>
      <c r="G2852" s="540">
        <f t="shared" si="2218"/>
        <v>242000.00000000006</v>
      </c>
    </row>
    <row r="2853" spans="1:8" ht="15.75" outlineLevel="2">
      <c r="A2853" s="384"/>
      <c r="B2853" s="384"/>
      <c r="C2853" s="443">
        <v>2211200</v>
      </c>
      <c r="D2853" s="492" t="s">
        <v>53</v>
      </c>
      <c r="E2853" s="615">
        <f>SUM(E2854:E2854)</f>
        <v>1318565</v>
      </c>
      <c r="F2853" s="540">
        <f t="shared" ref="F2853:G2853" si="2219">E2853*1.1</f>
        <v>1450421.5000000002</v>
      </c>
      <c r="G2853" s="540">
        <f t="shared" si="2219"/>
        <v>1595463.6500000004</v>
      </c>
    </row>
    <row r="2854" spans="1:8" ht="15.75" outlineLevel="2">
      <c r="A2854" s="614"/>
      <c r="B2854" s="614"/>
      <c r="C2854" s="437">
        <v>2211201</v>
      </c>
      <c r="D2854" s="494" t="s">
        <v>91</v>
      </c>
      <c r="E2854" s="495">
        <v>1318565</v>
      </c>
      <c r="F2854" s="540">
        <f t="shared" ref="F2854:G2854" si="2220">E2854*1.1</f>
        <v>1450421.5000000002</v>
      </c>
      <c r="G2854" s="540">
        <f t="shared" si="2220"/>
        <v>1595463.6500000004</v>
      </c>
    </row>
    <row r="2855" spans="1:8" s="301" customFormat="1" ht="15.75" outlineLevel="2">
      <c r="A2855" s="384"/>
      <c r="B2855" s="384"/>
      <c r="C2855" s="443">
        <v>2220100</v>
      </c>
      <c r="D2855" s="492" t="s">
        <v>794</v>
      </c>
      <c r="E2855" s="615">
        <f>SUM(E2856:E2856)</f>
        <v>605000</v>
      </c>
      <c r="F2855" s="540">
        <f t="shared" ref="F2855:G2855" si="2221">E2855*1.1</f>
        <v>665500</v>
      </c>
      <c r="G2855" s="540">
        <f t="shared" si="2221"/>
        <v>732050.00000000012</v>
      </c>
      <c r="H2855" s="132"/>
    </row>
    <row r="2856" spans="1:8" s="302" customFormat="1" ht="15.75" outlineLevel="2">
      <c r="A2856" s="614"/>
      <c r="B2856" s="614"/>
      <c r="C2856" s="437">
        <v>2220105</v>
      </c>
      <c r="D2856" s="494" t="s">
        <v>795</v>
      </c>
      <c r="E2856" s="495">
        <f>145000+460000</f>
        <v>605000</v>
      </c>
      <c r="F2856" s="540">
        <f t="shared" ref="F2856:G2856" si="2222">E2856*1.1</f>
        <v>665500</v>
      </c>
      <c r="G2856" s="540">
        <f t="shared" si="2222"/>
        <v>732050.00000000012</v>
      </c>
      <c r="H2856" s="132"/>
    </row>
    <row r="2857" spans="1:8" ht="15.75" outlineLevel="1">
      <c r="A2857" s="621"/>
      <c r="B2857" s="621"/>
      <c r="C2857" s="438"/>
      <c r="D2857" s="490" t="s">
        <v>796</v>
      </c>
      <c r="E2857" s="432">
        <f>E2820+E2822+E2825+E2829+E2833+E2837+E2841+E2846+E2849+E2853+E2855</f>
        <v>97442822.140000001</v>
      </c>
      <c r="F2857" s="540">
        <f t="shared" ref="F2857:G2857" si="2223">E2857*1.1</f>
        <v>107187104.354</v>
      </c>
      <c r="G2857" s="540">
        <f t="shared" si="2223"/>
        <v>117905814.78940001</v>
      </c>
    </row>
    <row r="2858" spans="1:8" ht="15.75" outlineLevel="1">
      <c r="A2858" s="324"/>
      <c r="B2858" s="324"/>
      <c r="C2858" s="437"/>
      <c r="D2858" s="494"/>
      <c r="E2858" s="495"/>
      <c r="F2858" s="540">
        <f t="shared" ref="F2858:G2858" si="2224">E2858*1.1</f>
        <v>0</v>
      </c>
      <c r="G2858" s="540">
        <f t="shared" si="2224"/>
        <v>0</v>
      </c>
    </row>
    <row r="2859" spans="1:8" ht="15.75" outlineLevel="1">
      <c r="A2859" s="621"/>
      <c r="B2859" s="621" t="s">
        <v>9</v>
      </c>
      <c r="C2859" s="438" t="s">
        <v>797</v>
      </c>
      <c r="D2859" s="490"/>
      <c r="E2859" s="432"/>
      <c r="F2859" s="540">
        <f t="shared" ref="F2859:G2859" si="2225">E2859*1.1</f>
        <v>0</v>
      </c>
      <c r="G2859" s="540">
        <f t="shared" si="2225"/>
        <v>0</v>
      </c>
    </row>
    <row r="2860" spans="1:8" ht="15.75" outlineLevel="1">
      <c r="A2860" s="600" t="s">
        <v>430</v>
      </c>
      <c r="B2860" s="600" t="s">
        <v>98</v>
      </c>
      <c r="C2860" s="622" t="s">
        <v>798</v>
      </c>
      <c r="D2860" s="623"/>
      <c r="E2860" s="497"/>
      <c r="F2860" s="540">
        <f t="shared" ref="F2860:G2860" si="2226">E2860*1.1</f>
        <v>0</v>
      </c>
      <c r="G2860" s="540">
        <f t="shared" si="2226"/>
        <v>0</v>
      </c>
    </row>
    <row r="2861" spans="1:8" ht="15.75" outlineLevel="3">
      <c r="A2861" s="600"/>
      <c r="B2861" s="600"/>
      <c r="C2861" s="591">
        <v>2210200</v>
      </c>
      <c r="D2861" s="623" t="s">
        <v>19</v>
      </c>
      <c r="E2861" s="507">
        <f>SUM(E2862:E2864)</f>
        <v>197140</v>
      </c>
      <c r="F2861" s="540">
        <f t="shared" ref="F2861:G2861" si="2227">E2861*1.1</f>
        <v>216854.00000000003</v>
      </c>
      <c r="G2861" s="540">
        <f t="shared" si="2227"/>
        <v>238539.40000000005</v>
      </c>
    </row>
    <row r="2862" spans="1:8" ht="15.75" outlineLevel="3">
      <c r="A2862" s="600"/>
      <c r="B2862" s="600"/>
      <c r="C2862" s="582">
        <v>2210201</v>
      </c>
      <c r="D2862" s="616" t="s">
        <v>236</v>
      </c>
      <c r="E2862" s="506">
        <f>36540+120000</f>
        <v>156540</v>
      </c>
      <c r="F2862" s="540">
        <f t="shared" ref="F2862:G2862" si="2228">E2862*1.1</f>
        <v>172194</v>
      </c>
      <c r="G2862" s="540">
        <f t="shared" si="2228"/>
        <v>189413.40000000002</v>
      </c>
    </row>
    <row r="2863" spans="1:8" ht="15.75" outlineLevel="3">
      <c r="A2863" s="600"/>
      <c r="B2863" s="600"/>
      <c r="C2863" s="582">
        <v>2210202</v>
      </c>
      <c r="D2863" s="616" t="s">
        <v>21</v>
      </c>
      <c r="E2863" s="506">
        <v>36540</v>
      </c>
      <c r="F2863" s="540">
        <f t="shared" ref="F2863:G2863" si="2229">E2863*1.1</f>
        <v>40194</v>
      </c>
      <c r="G2863" s="540">
        <f t="shared" si="2229"/>
        <v>44213.4</v>
      </c>
    </row>
    <row r="2864" spans="1:8" ht="15.75" outlineLevel="3">
      <c r="A2864" s="600"/>
      <c r="B2864" s="600"/>
      <c r="C2864" s="582">
        <v>2210203</v>
      </c>
      <c r="D2864" s="616" t="s">
        <v>22</v>
      </c>
      <c r="E2864" s="506">
        <v>4060</v>
      </c>
      <c r="F2864" s="540">
        <f t="shared" ref="F2864:G2864" si="2230">E2864*1.1</f>
        <v>4466</v>
      </c>
      <c r="G2864" s="540">
        <f t="shared" si="2230"/>
        <v>4912.6000000000004</v>
      </c>
    </row>
    <row r="2865" spans="1:7" ht="30" outlineLevel="3">
      <c r="A2865" s="600"/>
      <c r="B2865" s="600"/>
      <c r="C2865" s="591">
        <v>2210300</v>
      </c>
      <c r="D2865" s="623" t="s">
        <v>23</v>
      </c>
      <c r="E2865" s="507">
        <f>SUM(E2866:E2868)</f>
        <v>397000</v>
      </c>
      <c r="F2865" s="540">
        <f t="shared" ref="F2865:G2865" si="2231">E2865*1.1</f>
        <v>436700.00000000006</v>
      </c>
      <c r="G2865" s="540">
        <f t="shared" si="2231"/>
        <v>480370.00000000012</v>
      </c>
    </row>
    <row r="2866" spans="1:7" ht="15.75" outlineLevel="3">
      <c r="A2866" s="600"/>
      <c r="B2866" s="600"/>
      <c r="C2866" s="582">
        <v>2210301</v>
      </c>
      <c r="D2866" s="616" t="s">
        <v>208</v>
      </c>
      <c r="E2866" s="506">
        <v>150500</v>
      </c>
      <c r="F2866" s="540">
        <f t="shared" ref="F2866:G2866" si="2232">E2866*1.1</f>
        <v>165550</v>
      </c>
      <c r="G2866" s="540">
        <f t="shared" si="2232"/>
        <v>182105.00000000003</v>
      </c>
    </row>
    <row r="2867" spans="1:7" ht="15.75" outlineLevel="3">
      <c r="A2867" s="600"/>
      <c r="B2867" s="600"/>
      <c r="C2867" s="582">
        <v>2210302</v>
      </c>
      <c r="D2867" s="616" t="s">
        <v>25</v>
      </c>
      <c r="E2867" s="506">
        <v>130500</v>
      </c>
      <c r="F2867" s="540">
        <f t="shared" ref="F2867:G2867" si="2233">E2867*1.1</f>
        <v>143550</v>
      </c>
      <c r="G2867" s="540">
        <f t="shared" si="2233"/>
        <v>157905</v>
      </c>
    </row>
    <row r="2868" spans="1:7" ht="15.75" outlineLevel="3">
      <c r="A2868" s="600"/>
      <c r="B2868" s="600"/>
      <c r="C2868" s="582">
        <v>2210303</v>
      </c>
      <c r="D2868" s="616" t="s">
        <v>259</v>
      </c>
      <c r="E2868" s="506">
        <v>116000</v>
      </c>
      <c r="F2868" s="540">
        <f t="shared" ref="F2868:G2868" si="2234">E2868*1.1</f>
        <v>127600.00000000001</v>
      </c>
      <c r="G2868" s="540">
        <f t="shared" si="2234"/>
        <v>140360.00000000003</v>
      </c>
    </row>
    <row r="2869" spans="1:7" ht="15.75" outlineLevel="3">
      <c r="A2869" s="600"/>
      <c r="B2869" s="600"/>
      <c r="C2869" s="591">
        <v>2210500</v>
      </c>
      <c r="D2869" s="623" t="s">
        <v>30</v>
      </c>
      <c r="E2869" s="507">
        <f>SUM(E2870:E2872)</f>
        <v>2918382</v>
      </c>
      <c r="F2869" s="540">
        <f t="shared" ref="F2869:G2869" si="2235">E2869*1.1</f>
        <v>3210220.2</v>
      </c>
      <c r="G2869" s="540">
        <f t="shared" si="2235"/>
        <v>3531242.2200000007</v>
      </c>
    </row>
    <row r="2870" spans="1:7" ht="15.75" outlineLevel="3">
      <c r="A2870" s="600"/>
      <c r="B2870" s="600"/>
      <c r="C2870" s="582">
        <v>2210502</v>
      </c>
      <c r="D2870" s="616" t="s">
        <v>799</v>
      </c>
      <c r="E2870" s="506">
        <v>73080</v>
      </c>
      <c r="F2870" s="540">
        <f t="shared" ref="F2870:G2870" si="2236">E2870*1.1</f>
        <v>80388</v>
      </c>
      <c r="G2870" s="540">
        <f t="shared" si="2236"/>
        <v>88426.8</v>
      </c>
    </row>
    <row r="2871" spans="1:7" ht="15.75" outlineLevel="3">
      <c r="A2871" s="600"/>
      <c r="B2871" s="600"/>
      <c r="C2871" s="582">
        <v>2210503</v>
      </c>
      <c r="D2871" s="616" t="s">
        <v>31</v>
      </c>
      <c r="E2871" s="506">
        <v>20300</v>
      </c>
      <c r="F2871" s="540">
        <f t="shared" ref="F2871:G2871" si="2237">E2871*1.1</f>
        <v>22330</v>
      </c>
      <c r="G2871" s="540">
        <f t="shared" si="2237"/>
        <v>24563.000000000004</v>
      </c>
    </row>
    <row r="2872" spans="1:7" ht="30" outlineLevel="3">
      <c r="A2872" s="607"/>
      <c r="B2872" s="607"/>
      <c r="C2872" s="437">
        <v>2210504</v>
      </c>
      <c r="D2872" s="616" t="s">
        <v>800</v>
      </c>
      <c r="E2872" s="506">
        <f>1075444-400000+2149558</f>
        <v>2825002</v>
      </c>
      <c r="F2872" s="540">
        <f t="shared" ref="F2872:G2872" si="2238">E2872*1.1</f>
        <v>3107502.2</v>
      </c>
      <c r="G2872" s="540">
        <f t="shared" si="2238"/>
        <v>3418252.4200000004</v>
      </c>
    </row>
    <row r="2873" spans="1:7" ht="15.75" outlineLevel="3">
      <c r="A2873" s="600"/>
      <c r="B2873" s="600"/>
      <c r="C2873" s="591">
        <v>2210700</v>
      </c>
      <c r="D2873" s="623" t="s">
        <v>486</v>
      </c>
      <c r="E2873" s="507">
        <f>SUM(E2874:E2879)</f>
        <v>1049150</v>
      </c>
      <c r="F2873" s="540">
        <f t="shared" ref="F2873:G2873" si="2239">E2873*1.1</f>
        <v>1154065</v>
      </c>
      <c r="G2873" s="540">
        <f t="shared" si="2239"/>
        <v>1269471.5</v>
      </c>
    </row>
    <row r="2874" spans="1:7" ht="15.75" outlineLevel="3">
      <c r="A2874" s="600"/>
      <c r="B2874" s="600"/>
      <c r="C2874" s="582">
        <v>2210701</v>
      </c>
      <c r="D2874" s="616" t="s">
        <v>801</v>
      </c>
      <c r="E2874" s="506">
        <v>159500</v>
      </c>
      <c r="F2874" s="540">
        <f t="shared" ref="F2874:G2874" si="2240">E2874*1.1</f>
        <v>175450</v>
      </c>
      <c r="G2874" s="540">
        <f t="shared" si="2240"/>
        <v>192995.00000000003</v>
      </c>
    </row>
    <row r="2875" spans="1:7" ht="15.75" outlineLevel="3">
      <c r="A2875" s="600"/>
      <c r="B2875" s="600"/>
      <c r="C2875" s="582">
        <v>2210702</v>
      </c>
      <c r="D2875" s="707" t="s">
        <v>36</v>
      </c>
      <c r="E2875" s="506">
        <v>127500</v>
      </c>
      <c r="F2875" s="540">
        <f t="shared" ref="F2875:G2875" si="2241">E2875*1.1</f>
        <v>140250</v>
      </c>
      <c r="G2875" s="540">
        <f t="shared" si="2241"/>
        <v>154275</v>
      </c>
    </row>
    <row r="2876" spans="1:7" ht="15.75" outlineLevel="3">
      <c r="A2876" s="600"/>
      <c r="B2876" s="600"/>
      <c r="C2876" s="582">
        <v>2210703</v>
      </c>
      <c r="D2876" s="707" t="s">
        <v>166</v>
      </c>
      <c r="E2876" s="506">
        <v>108750</v>
      </c>
      <c r="F2876" s="540">
        <f t="shared" ref="F2876:G2876" si="2242">E2876*1.1</f>
        <v>119625.00000000001</v>
      </c>
      <c r="G2876" s="540">
        <f t="shared" si="2242"/>
        <v>131587.50000000003</v>
      </c>
    </row>
    <row r="2877" spans="1:7" ht="15.75" outlineLevel="3">
      <c r="A2877" s="600"/>
      <c r="B2877" s="600"/>
      <c r="C2877" s="582">
        <v>2210704</v>
      </c>
      <c r="D2877" s="707" t="s">
        <v>37</v>
      </c>
      <c r="E2877" s="506">
        <v>87000</v>
      </c>
      <c r="F2877" s="540">
        <f t="shared" ref="F2877:G2877" si="2243">E2877*1.1</f>
        <v>95700.000000000015</v>
      </c>
      <c r="G2877" s="540">
        <f t="shared" si="2243"/>
        <v>105270.00000000003</v>
      </c>
    </row>
    <row r="2878" spans="1:7" ht="15.75" outlineLevel="3">
      <c r="A2878" s="600"/>
      <c r="B2878" s="600"/>
      <c r="C2878" s="582">
        <v>2210710</v>
      </c>
      <c r="D2878" s="616" t="s">
        <v>38</v>
      </c>
      <c r="E2878" s="506">
        <v>201000</v>
      </c>
      <c r="F2878" s="540">
        <f t="shared" ref="F2878:G2878" si="2244">E2878*1.1</f>
        <v>221100.00000000003</v>
      </c>
      <c r="G2878" s="540">
        <f t="shared" si="2244"/>
        <v>243210.00000000006</v>
      </c>
    </row>
    <row r="2879" spans="1:7" ht="15.75" outlineLevel="3">
      <c r="A2879" s="600"/>
      <c r="B2879" s="600"/>
      <c r="C2879" s="582">
        <v>2210715</v>
      </c>
      <c r="D2879" s="616" t="s">
        <v>39</v>
      </c>
      <c r="E2879" s="506">
        <v>365400</v>
      </c>
      <c r="F2879" s="540">
        <f t="shared" ref="F2879:G2879" si="2245">E2879*1.1</f>
        <v>401940.00000000006</v>
      </c>
      <c r="G2879" s="540">
        <f t="shared" si="2245"/>
        <v>442134.00000000012</v>
      </c>
    </row>
    <row r="2880" spans="1:7" ht="15.75" outlineLevel="3">
      <c r="A2880" s="600"/>
      <c r="B2880" s="600"/>
      <c r="C2880" s="591">
        <v>2210800</v>
      </c>
      <c r="D2880" s="623" t="s">
        <v>41</v>
      </c>
      <c r="E2880" s="507">
        <f>SUM(E2881:E2882)</f>
        <v>290000</v>
      </c>
      <c r="F2880" s="540">
        <f t="shared" ref="F2880:G2880" si="2246">E2880*1.1</f>
        <v>319000</v>
      </c>
      <c r="G2880" s="540">
        <f t="shared" si="2246"/>
        <v>350900</v>
      </c>
    </row>
    <row r="2881" spans="1:8" ht="30" outlineLevel="3">
      <c r="A2881" s="600"/>
      <c r="B2881" s="600"/>
      <c r="C2881" s="582">
        <v>2210801</v>
      </c>
      <c r="D2881" s="616" t="s">
        <v>240</v>
      </c>
      <c r="E2881" s="506">
        <v>145000</v>
      </c>
      <c r="F2881" s="540">
        <f t="shared" ref="F2881:G2881" si="2247">E2881*1.1</f>
        <v>159500</v>
      </c>
      <c r="G2881" s="540">
        <f t="shared" si="2247"/>
        <v>175450</v>
      </c>
    </row>
    <row r="2882" spans="1:8" ht="15.75" outlineLevel="3">
      <c r="A2882" s="600"/>
      <c r="B2882" s="600"/>
      <c r="C2882" s="582">
        <v>2210802</v>
      </c>
      <c r="D2882" s="616" t="s">
        <v>86</v>
      </c>
      <c r="E2882" s="506">
        <v>145000</v>
      </c>
      <c r="F2882" s="540">
        <f t="shared" ref="F2882:G2882" si="2248">E2882*1.1</f>
        <v>159500</v>
      </c>
      <c r="G2882" s="540">
        <f t="shared" si="2248"/>
        <v>175450</v>
      </c>
    </row>
    <row r="2883" spans="1:8" ht="15.75" outlineLevel="3">
      <c r="A2883" s="600"/>
      <c r="B2883" s="600"/>
      <c r="C2883" s="591">
        <v>2211100</v>
      </c>
      <c r="D2883" s="623" t="s">
        <v>49</v>
      </c>
      <c r="E2883" s="507">
        <f>SUM(E2884:E2886)</f>
        <v>186760</v>
      </c>
      <c r="F2883" s="540">
        <f t="shared" ref="F2883:G2883" si="2249">E2883*1.1</f>
        <v>205436.00000000003</v>
      </c>
      <c r="G2883" s="540">
        <f t="shared" si="2249"/>
        <v>225979.60000000006</v>
      </c>
    </row>
    <row r="2884" spans="1:8" ht="15.75" outlineLevel="3">
      <c r="A2884" s="600"/>
      <c r="B2884" s="600"/>
      <c r="C2884" s="582">
        <v>2211101</v>
      </c>
      <c r="D2884" s="616" t="s">
        <v>802</v>
      </c>
      <c r="E2884" s="506">
        <f>40600*2</f>
        <v>81200</v>
      </c>
      <c r="F2884" s="540">
        <f t="shared" ref="F2884:G2884" si="2250">E2884*1.1</f>
        <v>89320</v>
      </c>
      <c r="G2884" s="540">
        <f t="shared" si="2250"/>
        <v>98252.000000000015</v>
      </c>
    </row>
    <row r="2885" spans="1:8" ht="15.75" outlineLevel="3">
      <c r="A2885" s="600"/>
      <c r="B2885" s="600"/>
      <c r="C2885" s="582">
        <v>2211102</v>
      </c>
      <c r="D2885" s="616" t="s">
        <v>51</v>
      </c>
      <c r="E2885" s="506">
        <f>40600*2</f>
        <v>81200</v>
      </c>
      <c r="F2885" s="540">
        <f t="shared" ref="F2885:G2885" si="2251">E2885*1.1</f>
        <v>89320</v>
      </c>
      <c r="G2885" s="540">
        <f t="shared" si="2251"/>
        <v>98252.000000000015</v>
      </c>
    </row>
    <row r="2886" spans="1:8" ht="15.75" outlineLevel="3">
      <c r="A2886" s="600"/>
      <c r="B2886" s="600"/>
      <c r="C2886" s="582">
        <v>2211103</v>
      </c>
      <c r="D2886" s="616" t="s">
        <v>52</v>
      </c>
      <c r="E2886" s="506">
        <v>24360</v>
      </c>
      <c r="F2886" s="540">
        <f t="shared" ref="F2886:G2886" si="2252">E2886*1.1</f>
        <v>26796.000000000004</v>
      </c>
      <c r="G2886" s="540">
        <f t="shared" si="2252"/>
        <v>29475.600000000006</v>
      </c>
    </row>
    <row r="2887" spans="1:8" ht="15.75" outlineLevel="3">
      <c r="A2887" s="600"/>
      <c r="B2887" s="600"/>
      <c r="C2887" s="591">
        <v>2211200</v>
      </c>
      <c r="D2887" s="623" t="s">
        <v>53</v>
      </c>
      <c r="E2887" s="507">
        <f>E2888</f>
        <v>416000</v>
      </c>
      <c r="F2887" s="540">
        <f t="shared" ref="F2887:G2887" si="2253">E2887*1.1</f>
        <v>457600.00000000006</v>
      </c>
      <c r="G2887" s="540">
        <f t="shared" si="2253"/>
        <v>503360.00000000012</v>
      </c>
    </row>
    <row r="2888" spans="1:8" ht="15.75" outlineLevel="3">
      <c r="A2888" s="600"/>
      <c r="B2888" s="600"/>
      <c r="C2888" s="582">
        <v>2211201</v>
      </c>
      <c r="D2888" s="616" t="s">
        <v>91</v>
      </c>
      <c r="E2888" s="506">
        <v>416000</v>
      </c>
      <c r="F2888" s="540">
        <f t="shared" ref="F2888:G2888" si="2254">E2888*1.1</f>
        <v>457600.00000000006</v>
      </c>
      <c r="G2888" s="540">
        <f t="shared" si="2254"/>
        <v>503360.00000000012</v>
      </c>
    </row>
    <row r="2889" spans="1:8" ht="30" outlineLevel="3">
      <c r="A2889" s="600"/>
      <c r="B2889" s="600"/>
      <c r="C2889" s="591">
        <v>2220100</v>
      </c>
      <c r="D2889" s="623" t="s">
        <v>61</v>
      </c>
      <c r="E2889" s="507">
        <f>E2890</f>
        <v>220400</v>
      </c>
      <c r="F2889" s="540">
        <f t="shared" ref="F2889:G2889" si="2255">E2889*1.1</f>
        <v>242440.00000000003</v>
      </c>
      <c r="G2889" s="540">
        <f t="shared" si="2255"/>
        <v>266684.00000000006</v>
      </c>
    </row>
    <row r="2890" spans="1:8" ht="15.75" outlineLevel="3">
      <c r="A2890" s="600"/>
      <c r="B2890" s="600"/>
      <c r="C2890" s="582">
        <v>2220101</v>
      </c>
      <c r="D2890" s="616" t="s">
        <v>803</v>
      </c>
      <c r="E2890" s="506">
        <f>110200*2</f>
        <v>220400</v>
      </c>
      <c r="F2890" s="540">
        <f t="shared" ref="F2890:G2890" si="2256">E2890*1.1</f>
        <v>242440.00000000003</v>
      </c>
      <c r="G2890" s="540">
        <f t="shared" si="2256"/>
        <v>266684.00000000006</v>
      </c>
    </row>
    <row r="2891" spans="1:8" ht="15.75" outlineLevel="3">
      <c r="A2891" s="600"/>
      <c r="B2891" s="600"/>
      <c r="C2891" s="591">
        <v>3111000</v>
      </c>
      <c r="D2891" s="623" t="s">
        <v>65</v>
      </c>
      <c r="E2891" s="507">
        <f>SUM(E2892:E2895)</f>
        <v>374050</v>
      </c>
      <c r="F2891" s="540">
        <f t="shared" ref="F2891:G2891" si="2257">E2891*1.1</f>
        <v>411455.00000000006</v>
      </c>
      <c r="G2891" s="540">
        <f t="shared" si="2257"/>
        <v>452600.50000000012</v>
      </c>
    </row>
    <row r="2892" spans="1:8" ht="15.75" outlineLevel="3">
      <c r="A2892" s="600"/>
      <c r="B2892" s="600"/>
      <c r="C2892" s="582">
        <v>3111001</v>
      </c>
      <c r="D2892" s="616" t="s">
        <v>65</v>
      </c>
      <c r="E2892" s="506">
        <f>40600+100000</f>
        <v>140600</v>
      </c>
      <c r="F2892" s="540">
        <f t="shared" ref="F2892:G2892" si="2258">E2892*1.1</f>
        <v>154660</v>
      </c>
      <c r="G2892" s="540">
        <f t="shared" si="2258"/>
        <v>170126</v>
      </c>
    </row>
    <row r="2893" spans="1:8" ht="15.75" outlineLevel="3">
      <c r="A2893" s="600"/>
      <c r="B2893" s="600"/>
      <c r="C2893" s="582">
        <v>3111002</v>
      </c>
      <c r="D2893" s="616" t="s">
        <v>67</v>
      </c>
      <c r="E2893" s="506">
        <v>152250</v>
      </c>
      <c r="F2893" s="540">
        <f t="shared" ref="F2893:G2893" si="2259">E2893*1.1</f>
        <v>167475</v>
      </c>
      <c r="G2893" s="540">
        <f t="shared" si="2259"/>
        <v>184222.50000000003</v>
      </c>
    </row>
    <row r="2894" spans="1:8" ht="15.75" outlineLevel="3">
      <c r="A2894" s="600"/>
      <c r="B2894" s="600"/>
      <c r="C2894" s="582">
        <v>3111005</v>
      </c>
      <c r="D2894" s="616" t="s">
        <v>804</v>
      </c>
      <c r="E2894" s="506">
        <v>40600</v>
      </c>
      <c r="F2894" s="540">
        <f t="shared" ref="F2894:G2894" si="2260">E2894*1.1</f>
        <v>44660</v>
      </c>
      <c r="G2894" s="540">
        <f t="shared" si="2260"/>
        <v>49126.000000000007</v>
      </c>
    </row>
    <row r="2895" spans="1:8" ht="15.75" outlineLevel="3">
      <c r="A2895" s="600"/>
      <c r="B2895" s="600"/>
      <c r="C2895" s="582">
        <v>3111009</v>
      </c>
      <c r="D2895" s="616" t="s">
        <v>227</v>
      </c>
      <c r="E2895" s="506">
        <v>40600</v>
      </c>
      <c r="F2895" s="540">
        <f t="shared" ref="F2895:G2895" si="2261">E2895*1.1</f>
        <v>44660</v>
      </c>
      <c r="G2895" s="540">
        <f t="shared" si="2261"/>
        <v>49126.000000000007</v>
      </c>
    </row>
    <row r="2896" spans="1:8" s="301" customFormat="1" ht="30" outlineLevel="3">
      <c r="A2896" s="600"/>
      <c r="B2896" s="600"/>
      <c r="C2896" s="443">
        <v>3111400</v>
      </c>
      <c r="D2896" s="492" t="s">
        <v>805</v>
      </c>
      <c r="E2896" s="493">
        <f>E2897</f>
        <v>446800</v>
      </c>
      <c r="F2896" s="540">
        <f t="shared" ref="F2896:G2896" si="2262">E2896*1.1</f>
        <v>491480.00000000006</v>
      </c>
      <c r="G2896" s="540">
        <f t="shared" si="2262"/>
        <v>540628.00000000012</v>
      </c>
      <c r="H2896" s="132"/>
    </row>
    <row r="2897" spans="1:7" ht="30" outlineLevel="3">
      <c r="A2897" s="600"/>
      <c r="B2897" s="600"/>
      <c r="C2897" s="582">
        <v>3111401</v>
      </c>
      <c r="D2897" s="616" t="s">
        <v>806</v>
      </c>
      <c r="E2897" s="496">
        <f>486800-40000</f>
        <v>446800</v>
      </c>
      <c r="F2897" s="540">
        <f t="shared" ref="F2897:G2897" si="2263">E2897*1.1</f>
        <v>491480.00000000006</v>
      </c>
      <c r="G2897" s="540">
        <f t="shared" si="2263"/>
        <v>540628.00000000012</v>
      </c>
    </row>
    <row r="2898" spans="1:7" ht="15.75" outlineLevel="2">
      <c r="A2898" s="624"/>
      <c r="B2898" s="624"/>
      <c r="C2898" s="437"/>
      <c r="D2898" s="625" t="s">
        <v>101</v>
      </c>
      <c r="E2898" s="626">
        <f>E2896+E2891+E2889+E2887+E2883+E2880+E2873+E2869+E2865+E2861</f>
        <v>6495682</v>
      </c>
      <c r="F2898" s="540">
        <f t="shared" ref="F2898:G2898" si="2264">E2898*1.1</f>
        <v>7145250.2000000002</v>
      </c>
      <c r="G2898" s="540">
        <f t="shared" si="2264"/>
        <v>7859775.2200000007</v>
      </c>
    </row>
    <row r="2899" spans="1:7" ht="15.75" outlineLevel="2">
      <c r="A2899" s="600"/>
      <c r="B2899" s="600"/>
      <c r="C2899" s="591"/>
      <c r="D2899" s="623"/>
      <c r="E2899" s="506">
        <v>0</v>
      </c>
      <c r="F2899" s="540">
        <f t="shared" ref="F2899:G2899" si="2265">E2899*1.1</f>
        <v>0</v>
      </c>
      <c r="G2899" s="540">
        <f t="shared" si="2265"/>
        <v>0</v>
      </c>
    </row>
    <row r="2900" spans="1:7" ht="15.75" outlineLevel="2">
      <c r="A2900" s="600" t="s">
        <v>430</v>
      </c>
      <c r="B2900" s="600" t="s">
        <v>98</v>
      </c>
      <c r="C2900" s="591" t="s">
        <v>184</v>
      </c>
      <c r="D2900" s="623"/>
      <c r="E2900" s="506"/>
      <c r="F2900" s="540">
        <f t="shared" ref="F2900:G2900" si="2266">E2900*1.1</f>
        <v>0</v>
      </c>
      <c r="G2900" s="540">
        <f t="shared" si="2266"/>
        <v>0</v>
      </c>
    </row>
    <row r="2901" spans="1:7" ht="15.75" outlineLevel="3">
      <c r="A2901" s="607"/>
      <c r="B2901" s="607"/>
      <c r="C2901" s="437">
        <v>3110504</v>
      </c>
      <c r="D2901" s="494" t="s">
        <v>807</v>
      </c>
      <c r="E2901" s="496"/>
      <c r="F2901" s="540">
        <f t="shared" ref="F2901:G2901" si="2267">E2901*1.1</f>
        <v>0</v>
      </c>
      <c r="G2901" s="540">
        <f t="shared" si="2267"/>
        <v>0</v>
      </c>
    </row>
    <row r="2902" spans="1:7" ht="15.75" outlineLevel="2">
      <c r="A2902" s="624"/>
      <c r="B2902" s="624"/>
      <c r="C2902" s="536" t="s">
        <v>201</v>
      </c>
      <c r="D2902" s="494"/>
      <c r="E2902" s="626">
        <f>E2901</f>
        <v>0</v>
      </c>
      <c r="F2902" s="540">
        <f t="shared" ref="F2902:G2902" si="2268">E2902*1.1</f>
        <v>0</v>
      </c>
      <c r="G2902" s="540">
        <f t="shared" si="2268"/>
        <v>0</v>
      </c>
    </row>
    <row r="2903" spans="1:7" ht="15.75" outlineLevel="1">
      <c r="A2903" s="624"/>
      <c r="B2903" s="624"/>
      <c r="C2903" s="536" t="s">
        <v>808</v>
      </c>
      <c r="D2903" s="627"/>
      <c r="E2903" s="626">
        <f>E2898+E2902</f>
        <v>6495682</v>
      </c>
      <c r="F2903" s="540">
        <f t="shared" ref="F2903:G2903" si="2269">E2903*1.1</f>
        <v>7145250.2000000002</v>
      </c>
      <c r="G2903" s="540">
        <f t="shared" si="2269"/>
        <v>7859775.2200000007</v>
      </c>
    </row>
    <row r="2904" spans="1:7" ht="15.75" outlineLevel="1">
      <c r="A2904" s="614"/>
      <c r="B2904" s="614"/>
      <c r="C2904" s="437"/>
      <c r="D2904" s="494"/>
      <c r="E2904" s="506">
        <v>0</v>
      </c>
      <c r="F2904" s="540">
        <f t="shared" ref="F2904:G2904" si="2270">E2904*1.1</f>
        <v>0</v>
      </c>
      <c r="G2904" s="540">
        <f t="shared" si="2270"/>
        <v>0</v>
      </c>
    </row>
    <row r="2905" spans="1:7" ht="15.75" outlineLevel="1">
      <c r="A2905" s="624" t="s">
        <v>430</v>
      </c>
      <c r="B2905" s="624"/>
      <c r="C2905" s="628" t="s">
        <v>809</v>
      </c>
      <c r="D2905" s="537"/>
      <c r="E2905" s="506">
        <v>0</v>
      </c>
      <c r="F2905" s="540">
        <f t="shared" ref="F2905:G2905" si="2271">E2905*1.1</f>
        <v>0</v>
      </c>
      <c r="G2905" s="540">
        <f t="shared" si="2271"/>
        <v>0</v>
      </c>
    </row>
    <row r="2906" spans="1:7" ht="15.75" outlineLevel="1">
      <c r="A2906" s="600"/>
      <c r="B2906" s="600" t="s">
        <v>98</v>
      </c>
      <c r="C2906" s="476" t="s">
        <v>810</v>
      </c>
      <c r="D2906" s="477"/>
      <c r="E2906" s="506">
        <v>0</v>
      </c>
      <c r="F2906" s="540">
        <f t="shared" ref="F2906:G2906" si="2272">E2906*1.1</f>
        <v>0</v>
      </c>
      <c r="G2906" s="540">
        <f t="shared" si="2272"/>
        <v>0</v>
      </c>
    </row>
    <row r="2907" spans="1:7" ht="15.75" outlineLevel="3">
      <c r="A2907" s="600"/>
      <c r="B2907" s="600"/>
      <c r="C2907" s="591">
        <v>2210200</v>
      </c>
      <c r="D2907" s="477" t="s">
        <v>19</v>
      </c>
      <c r="E2907" s="507">
        <f>SUM(E2908:E2910)</f>
        <v>328800</v>
      </c>
      <c r="F2907" s="540">
        <f t="shared" ref="F2907:G2907" si="2273">E2907*1.1</f>
        <v>361680.00000000006</v>
      </c>
      <c r="G2907" s="540">
        <f t="shared" si="2273"/>
        <v>397848.00000000012</v>
      </c>
    </row>
    <row r="2908" spans="1:7" ht="15.75" outlineLevel="3">
      <c r="A2908" s="600"/>
      <c r="B2908" s="600"/>
      <c r="C2908" s="582">
        <v>2210201</v>
      </c>
      <c r="D2908" s="616" t="s">
        <v>236</v>
      </c>
      <c r="E2908" s="506">
        <v>92000</v>
      </c>
      <c r="F2908" s="540">
        <f t="shared" ref="F2908:G2908" si="2274">E2908*1.1</f>
        <v>101200.00000000001</v>
      </c>
      <c r="G2908" s="540">
        <f t="shared" si="2274"/>
        <v>111320.00000000003</v>
      </c>
    </row>
    <row r="2909" spans="1:7" ht="15.75" outlineLevel="3">
      <c r="A2909" s="600"/>
      <c r="B2909" s="600"/>
      <c r="C2909" s="582">
        <v>2210202</v>
      </c>
      <c r="D2909" s="583" t="s">
        <v>21</v>
      </c>
      <c r="E2909" s="506">
        <f>119000+181000-127000</f>
        <v>173000</v>
      </c>
      <c r="F2909" s="540">
        <f t="shared" ref="F2909:G2909" si="2275">E2909*1.1</f>
        <v>190300.00000000003</v>
      </c>
      <c r="G2909" s="540">
        <f t="shared" si="2275"/>
        <v>209330.00000000006</v>
      </c>
    </row>
    <row r="2910" spans="1:7" ht="15.75" outlineLevel="3">
      <c r="A2910" s="600"/>
      <c r="B2910" s="600"/>
      <c r="C2910" s="582">
        <v>2210299</v>
      </c>
      <c r="D2910" s="583" t="s">
        <v>811</v>
      </c>
      <c r="E2910" s="506">
        <v>63800</v>
      </c>
      <c r="F2910" s="540">
        <f t="shared" ref="F2910:G2910" si="2276">E2910*1.1</f>
        <v>70180</v>
      </c>
      <c r="G2910" s="540">
        <f t="shared" si="2276"/>
        <v>77198</v>
      </c>
    </row>
    <row r="2911" spans="1:7" ht="30" outlineLevel="3">
      <c r="A2911" s="600"/>
      <c r="B2911" s="600"/>
      <c r="C2911" s="591">
        <v>2210300</v>
      </c>
      <c r="D2911" s="477" t="s">
        <v>23</v>
      </c>
      <c r="E2911" s="507">
        <f>SUM(E2912:E2914)</f>
        <v>807500</v>
      </c>
      <c r="F2911" s="540">
        <f t="shared" ref="F2911:G2911" si="2277">E2911*1.1</f>
        <v>888250.00000000012</v>
      </c>
      <c r="G2911" s="540">
        <f t="shared" si="2277"/>
        <v>977075.00000000023</v>
      </c>
    </row>
    <row r="2912" spans="1:7" ht="15.75" outlineLevel="3">
      <c r="A2912" s="600"/>
      <c r="B2912" s="600"/>
      <c r="C2912" s="582">
        <v>2210301</v>
      </c>
      <c r="D2912" s="583" t="s">
        <v>24</v>
      </c>
      <c r="E2912" s="506">
        <v>98000</v>
      </c>
      <c r="F2912" s="540">
        <f t="shared" ref="F2912:G2912" si="2278">E2912*1.1</f>
        <v>107800.00000000001</v>
      </c>
      <c r="G2912" s="540">
        <f t="shared" si="2278"/>
        <v>118580.00000000003</v>
      </c>
    </row>
    <row r="2913" spans="1:8" ht="15.75" outlineLevel="3">
      <c r="A2913" s="600"/>
      <c r="B2913" s="600"/>
      <c r="C2913" s="582">
        <v>2210302</v>
      </c>
      <c r="D2913" s="583" t="s">
        <v>25</v>
      </c>
      <c r="E2913" s="506">
        <v>148000</v>
      </c>
      <c r="F2913" s="540">
        <f t="shared" ref="F2913:G2913" si="2279">E2913*1.1</f>
        <v>162800</v>
      </c>
      <c r="G2913" s="540">
        <f t="shared" si="2279"/>
        <v>179080</v>
      </c>
    </row>
    <row r="2914" spans="1:8" ht="15.75" outlineLevel="3">
      <c r="A2914" s="600"/>
      <c r="B2914" s="600"/>
      <c r="C2914" s="582">
        <v>2210303</v>
      </c>
      <c r="D2914" s="583" t="s">
        <v>26</v>
      </c>
      <c r="E2914" s="506">
        <v>561500</v>
      </c>
      <c r="F2914" s="540">
        <f t="shared" ref="F2914:G2914" si="2280">E2914*1.1</f>
        <v>617650</v>
      </c>
      <c r="G2914" s="540">
        <f t="shared" si="2280"/>
        <v>679415</v>
      </c>
    </row>
    <row r="2915" spans="1:8" ht="15.75" outlineLevel="3">
      <c r="A2915" s="384"/>
      <c r="B2915" s="384"/>
      <c r="C2915" s="443">
        <v>2210500</v>
      </c>
      <c r="D2915" s="492" t="s">
        <v>30</v>
      </c>
      <c r="E2915" s="615">
        <f>SUM(E2916:E2916)</f>
        <v>1600619</v>
      </c>
      <c r="F2915" s="540">
        <f t="shared" ref="F2915:G2915" si="2281">E2915*1.1</f>
        <v>1760680.9000000001</v>
      </c>
      <c r="G2915" s="540">
        <f t="shared" si="2281"/>
        <v>1936748.9900000002</v>
      </c>
    </row>
    <row r="2916" spans="1:8" s="302" customFormat="1" ht="15.75" outlineLevel="3">
      <c r="A2916" s="629"/>
      <c r="B2916" s="629"/>
      <c r="C2916" s="437">
        <v>2210505</v>
      </c>
      <c r="D2916" s="494" t="s">
        <v>213</v>
      </c>
      <c r="E2916" s="506">
        <v>1600619</v>
      </c>
      <c r="F2916" s="540">
        <f t="shared" ref="F2916:G2916" si="2282">E2916*1.1</f>
        <v>1760680.9000000001</v>
      </c>
      <c r="G2916" s="540">
        <f t="shared" si="2282"/>
        <v>1936748.9900000002</v>
      </c>
      <c r="H2916" s="132"/>
    </row>
    <row r="2917" spans="1:8" ht="15.75" outlineLevel="3">
      <c r="A2917" s="600"/>
      <c r="B2917" s="600"/>
      <c r="C2917" s="591">
        <v>2210700</v>
      </c>
      <c r="D2917" s="477" t="s">
        <v>34</v>
      </c>
      <c r="E2917" s="507">
        <f>SUM(E2918:E2920)</f>
        <v>278500</v>
      </c>
      <c r="F2917" s="540">
        <f t="shared" ref="F2917:G2917" si="2283">E2917*1.1</f>
        <v>306350</v>
      </c>
      <c r="G2917" s="540">
        <f t="shared" si="2283"/>
        <v>336985</v>
      </c>
    </row>
    <row r="2918" spans="1:8" ht="15.75" outlineLevel="3">
      <c r="A2918" s="600"/>
      <c r="B2918" s="600"/>
      <c r="C2918" s="582">
        <v>2210701</v>
      </c>
      <c r="D2918" s="583" t="s">
        <v>35</v>
      </c>
      <c r="E2918" s="506">
        <v>159500</v>
      </c>
      <c r="F2918" s="540">
        <f t="shared" ref="F2918:G2918" si="2284">E2918*1.1</f>
        <v>175450</v>
      </c>
      <c r="G2918" s="540">
        <f t="shared" si="2284"/>
        <v>192995.00000000003</v>
      </c>
    </row>
    <row r="2919" spans="1:8" ht="15.75" outlineLevel="3">
      <c r="A2919" s="600"/>
      <c r="B2919" s="600"/>
      <c r="C2919" s="582">
        <v>2210704</v>
      </c>
      <c r="D2919" s="583" t="s">
        <v>37</v>
      </c>
      <c r="E2919" s="506">
        <v>30500</v>
      </c>
      <c r="F2919" s="540">
        <f t="shared" ref="F2919:G2919" si="2285">E2919*1.1</f>
        <v>33550</v>
      </c>
      <c r="G2919" s="540">
        <f t="shared" si="2285"/>
        <v>36905</v>
      </c>
    </row>
    <row r="2920" spans="1:8" ht="15.75" outlineLevel="3">
      <c r="A2920" s="600"/>
      <c r="B2920" s="600"/>
      <c r="C2920" s="582">
        <v>2210711</v>
      </c>
      <c r="D2920" s="583" t="s">
        <v>167</v>
      </c>
      <c r="E2920" s="506">
        <v>88500</v>
      </c>
      <c r="F2920" s="540">
        <f t="shared" ref="F2920:G2920" si="2286">E2920*1.1</f>
        <v>97350.000000000015</v>
      </c>
      <c r="G2920" s="540">
        <f t="shared" si="2286"/>
        <v>107085.00000000003</v>
      </c>
    </row>
    <row r="2921" spans="1:8" ht="15.75" outlineLevel="3">
      <c r="A2921" s="600"/>
      <c r="B2921" s="600"/>
      <c r="C2921" s="591">
        <v>2210800</v>
      </c>
      <c r="D2921" s="477" t="s">
        <v>41</v>
      </c>
      <c r="E2921" s="507">
        <f>SUM(E2922:E2923)</f>
        <v>190000</v>
      </c>
      <c r="F2921" s="540">
        <f t="shared" ref="F2921:G2921" si="2287">E2921*1.1</f>
        <v>209000.00000000003</v>
      </c>
      <c r="G2921" s="540">
        <f t="shared" si="2287"/>
        <v>229900.00000000006</v>
      </c>
    </row>
    <row r="2922" spans="1:8" ht="30" outlineLevel="3">
      <c r="A2922" s="600"/>
      <c r="B2922" s="600"/>
      <c r="C2922" s="582">
        <v>2210801</v>
      </c>
      <c r="D2922" s="583" t="s">
        <v>240</v>
      </c>
      <c r="E2922" s="506">
        <f>203000-20000-80000</f>
        <v>103000</v>
      </c>
      <c r="F2922" s="540">
        <f t="shared" ref="F2922:G2922" si="2288">E2922*1.1</f>
        <v>113300.00000000001</v>
      </c>
      <c r="G2922" s="540">
        <f t="shared" si="2288"/>
        <v>124630.00000000003</v>
      </c>
    </row>
    <row r="2923" spans="1:8" ht="15.75" outlineLevel="3">
      <c r="A2923" s="600"/>
      <c r="B2923" s="600"/>
      <c r="C2923" s="582">
        <v>2210802</v>
      </c>
      <c r="D2923" s="583" t="s">
        <v>43</v>
      </c>
      <c r="E2923" s="506">
        <v>87000</v>
      </c>
      <c r="F2923" s="540">
        <f t="shared" ref="F2923:G2923" si="2289">E2923*1.1</f>
        <v>95700.000000000015</v>
      </c>
      <c r="G2923" s="540">
        <f t="shared" si="2289"/>
        <v>105270.00000000003</v>
      </c>
    </row>
    <row r="2924" spans="1:8" ht="15.75" outlineLevel="2">
      <c r="A2924" s="384"/>
      <c r="B2924" s="384"/>
      <c r="C2924" s="443">
        <v>2211100</v>
      </c>
      <c r="D2924" s="492" t="s">
        <v>49</v>
      </c>
      <c r="E2924" s="615">
        <f>E2925+E2926</f>
        <v>284807.51999998098</v>
      </c>
      <c r="F2924" s="540">
        <f t="shared" ref="F2924:G2924" si="2290">E2924*1.1</f>
        <v>313288.2719999791</v>
      </c>
      <c r="G2924" s="540">
        <f t="shared" si="2290"/>
        <v>344617.09919997706</v>
      </c>
    </row>
    <row r="2925" spans="1:8" ht="15.75" outlineLevel="2">
      <c r="A2925" s="614"/>
      <c r="B2925" s="614"/>
      <c r="C2925" s="437">
        <v>2211102</v>
      </c>
      <c r="D2925" s="494" t="s">
        <v>243</v>
      </c>
      <c r="E2925" s="495">
        <f>(0+100000+42403.7599999905-20000)*2</f>
        <v>244807.51999998098</v>
      </c>
      <c r="F2925" s="540">
        <f t="shared" ref="F2925:G2925" si="2291">E2925*1.1</f>
        <v>269288.2719999791</v>
      </c>
      <c r="G2925" s="540">
        <f t="shared" si="2291"/>
        <v>296217.09919997706</v>
      </c>
    </row>
    <row r="2926" spans="1:8" ht="15.75" outlineLevel="2">
      <c r="A2926" s="614"/>
      <c r="B2926" s="614"/>
      <c r="C2926" s="437">
        <v>2211103</v>
      </c>
      <c r="D2926" s="494" t="s">
        <v>52</v>
      </c>
      <c r="E2926" s="495">
        <v>40000</v>
      </c>
      <c r="F2926" s="540">
        <f t="shared" ref="F2926:G2926" si="2292">E2926*1.1</f>
        <v>44000</v>
      </c>
      <c r="G2926" s="540">
        <f t="shared" si="2292"/>
        <v>48400.000000000007</v>
      </c>
    </row>
    <row r="2927" spans="1:8" s="301" customFormat="1" ht="15.75" outlineLevel="3">
      <c r="A2927" s="600"/>
      <c r="B2927" s="600"/>
      <c r="C2927" s="591">
        <v>2211200</v>
      </c>
      <c r="D2927" s="477" t="s">
        <v>53</v>
      </c>
      <c r="E2927" s="507">
        <f>E2928</f>
        <v>368200</v>
      </c>
      <c r="F2927" s="540">
        <f t="shared" ref="F2927:G2927" si="2293">E2927*1.1</f>
        <v>405020.00000000006</v>
      </c>
      <c r="G2927" s="540">
        <f t="shared" si="2293"/>
        <v>445522.00000000012</v>
      </c>
      <c r="H2927" s="132"/>
    </row>
    <row r="2928" spans="1:8" ht="15.75" outlineLevel="3">
      <c r="A2928" s="600"/>
      <c r="B2928" s="600"/>
      <c r="C2928" s="582">
        <v>2211201</v>
      </c>
      <c r="D2928" s="583" t="s">
        <v>91</v>
      </c>
      <c r="E2928" s="506">
        <v>368200</v>
      </c>
      <c r="F2928" s="540">
        <f t="shared" ref="F2928:G2928" si="2294">E2928*1.1</f>
        <v>405020.00000000006</v>
      </c>
      <c r="G2928" s="540">
        <f t="shared" si="2294"/>
        <v>445522.00000000012</v>
      </c>
    </row>
    <row r="2929" spans="1:7" ht="15.75" outlineLevel="3">
      <c r="A2929" s="600"/>
      <c r="B2929" s="600"/>
      <c r="C2929" s="591">
        <v>3111000</v>
      </c>
      <c r="D2929" s="477" t="s">
        <v>65</v>
      </c>
      <c r="E2929" s="507">
        <f>E2930</f>
        <v>200596</v>
      </c>
      <c r="F2929" s="540">
        <f t="shared" ref="F2929:G2929" si="2295">E2929*1.1</f>
        <v>220655.6</v>
      </c>
      <c r="G2929" s="540">
        <f t="shared" si="2295"/>
        <v>242721.16000000003</v>
      </c>
    </row>
    <row r="2930" spans="1:7" ht="15.75" outlineLevel="3">
      <c r="A2930" s="600"/>
      <c r="B2930" s="600"/>
      <c r="C2930" s="582">
        <v>3111001</v>
      </c>
      <c r="D2930" s="616" t="s">
        <v>65</v>
      </c>
      <c r="E2930" s="506">
        <f>81200+127000-7604</f>
        <v>200596</v>
      </c>
      <c r="F2930" s="540">
        <f t="shared" ref="F2930:G2930" si="2296">E2930*1.1</f>
        <v>220655.6</v>
      </c>
      <c r="G2930" s="540">
        <f t="shared" si="2296"/>
        <v>242721.16000000003</v>
      </c>
    </row>
    <row r="2931" spans="1:7" ht="15.75" outlineLevel="2">
      <c r="A2931" s="624"/>
      <c r="B2931" s="624"/>
      <c r="C2931" s="536"/>
      <c r="D2931" s="537" t="s">
        <v>812</v>
      </c>
      <c r="E2931" s="626">
        <f>E2907+E2911+E2917+E2921+E2927+E2929+E2924+E2915</f>
        <v>4059022.5199999809</v>
      </c>
      <c r="F2931" s="540">
        <f t="shared" ref="F2931:G2931" si="2297">E2931*1.1</f>
        <v>4464924.7719999794</v>
      </c>
      <c r="G2931" s="540">
        <f t="shared" si="2297"/>
        <v>4911417.2491999781</v>
      </c>
    </row>
    <row r="2932" spans="1:7" ht="15.75" outlineLevel="2">
      <c r="A2932" s="614"/>
      <c r="B2932" s="614"/>
      <c r="C2932" s="437"/>
      <c r="D2932" s="494"/>
      <c r="E2932" s="495"/>
      <c r="F2932" s="540">
        <f t="shared" ref="F2932:G2932" si="2298">E2932*1.1</f>
        <v>0</v>
      </c>
      <c r="G2932" s="540">
        <f t="shared" si="2298"/>
        <v>0</v>
      </c>
    </row>
    <row r="2933" spans="1:7" ht="15.75" outlineLevel="2">
      <c r="A2933" s="614"/>
      <c r="B2933" s="614"/>
      <c r="C2933" s="437"/>
      <c r="D2933" s="494"/>
      <c r="E2933" s="495"/>
      <c r="F2933" s="540">
        <f t="shared" ref="F2933:G2933" si="2299">E2933*1.1</f>
        <v>0</v>
      </c>
      <c r="G2933" s="540">
        <f t="shared" si="2299"/>
        <v>0</v>
      </c>
    </row>
    <row r="2934" spans="1:7" ht="15.75" outlineLevel="2">
      <c r="A2934" s="614"/>
      <c r="B2934" s="614"/>
      <c r="C2934" s="437"/>
      <c r="D2934" s="492" t="s">
        <v>184</v>
      </c>
      <c r="E2934" s="495"/>
      <c r="F2934" s="540">
        <f t="shared" ref="F2934:G2934" si="2300">E2934*1.1</f>
        <v>0</v>
      </c>
      <c r="G2934" s="540">
        <f t="shared" si="2300"/>
        <v>0</v>
      </c>
    </row>
    <row r="2935" spans="1:7" ht="30" outlineLevel="3">
      <c r="A2935" s="600"/>
      <c r="B2935" s="600"/>
      <c r="C2935" s="582">
        <v>3110301</v>
      </c>
      <c r="D2935" s="583" t="s">
        <v>813</v>
      </c>
      <c r="E2935" s="506">
        <v>6500000</v>
      </c>
      <c r="F2935" s="540">
        <f t="shared" ref="F2935:G2935" si="2301">E2935*1.1</f>
        <v>7150000.0000000009</v>
      </c>
      <c r="G2935" s="540">
        <f t="shared" si="2301"/>
        <v>7865000.0000000019</v>
      </c>
    </row>
    <row r="2936" spans="1:7" ht="30" outlineLevel="3">
      <c r="A2936" s="614"/>
      <c r="B2936" s="614"/>
      <c r="C2936" s="582">
        <v>3111111</v>
      </c>
      <c r="D2936" s="494" t="s">
        <v>814</v>
      </c>
      <c r="E2936" s="506">
        <v>2791844</v>
      </c>
      <c r="F2936" s="540">
        <f t="shared" ref="F2936:G2936" si="2302">E2936*1.1</f>
        <v>3071028.4000000004</v>
      </c>
      <c r="G2936" s="540">
        <f t="shared" si="2302"/>
        <v>3378131.2400000007</v>
      </c>
    </row>
    <row r="2937" spans="1:7" ht="15.75" outlineLevel="3">
      <c r="A2937" s="600"/>
      <c r="B2937" s="600"/>
      <c r="C2937" s="582">
        <v>3111112</v>
      </c>
      <c r="D2937" s="583" t="s">
        <v>815</v>
      </c>
      <c r="E2937" s="506">
        <v>1267590</v>
      </c>
      <c r="F2937" s="540">
        <f t="shared" ref="F2937:G2937" si="2303">E2937*1.1</f>
        <v>1394349</v>
      </c>
      <c r="G2937" s="540">
        <f t="shared" si="2303"/>
        <v>1533783.9000000001</v>
      </c>
    </row>
    <row r="2938" spans="1:7" ht="15.75" outlineLevel="3">
      <c r="A2938" s="600"/>
      <c r="B2938" s="600"/>
      <c r="C2938" s="582">
        <v>3111112</v>
      </c>
      <c r="D2938" s="583" t="s">
        <v>816</v>
      </c>
      <c r="E2938" s="506">
        <v>2840950</v>
      </c>
      <c r="F2938" s="540">
        <f t="shared" ref="F2938:G2938" si="2304">E2938*1.1</f>
        <v>3125045.0000000005</v>
      </c>
      <c r="G2938" s="540">
        <f t="shared" si="2304"/>
        <v>3437549.5000000009</v>
      </c>
    </row>
    <row r="2939" spans="1:7" ht="15.75" outlineLevel="2">
      <c r="A2939" s="384"/>
      <c r="B2939" s="384"/>
      <c r="C2939" s="443"/>
      <c r="D2939" s="537" t="s">
        <v>201</v>
      </c>
      <c r="E2939" s="432">
        <f>E2936+E2935+E2937+E2938</f>
        <v>13400384</v>
      </c>
      <c r="F2939" s="540">
        <f t="shared" ref="F2939:G2939" si="2305">E2939*1.1</f>
        <v>14740422.4</v>
      </c>
      <c r="G2939" s="540">
        <f t="shared" si="2305"/>
        <v>16214464.640000002</v>
      </c>
    </row>
    <row r="2940" spans="1:7" ht="15.75" outlineLevel="1">
      <c r="A2940" s="384"/>
      <c r="B2940" s="384"/>
      <c r="C2940" s="443"/>
      <c r="D2940" s="537" t="s">
        <v>80</v>
      </c>
      <c r="E2940" s="432">
        <f>E2939+E2931</f>
        <v>17459406.519999981</v>
      </c>
      <c r="F2940" s="540">
        <f t="shared" ref="F2940:G2940" si="2306">E2940*1.1</f>
        <v>19205347.17199998</v>
      </c>
      <c r="G2940" s="540">
        <f t="shared" si="2306"/>
        <v>21125881.88919998</v>
      </c>
    </row>
    <row r="2941" spans="1:7" ht="15.75" outlineLevel="1">
      <c r="A2941" s="324"/>
      <c r="B2941" s="324"/>
      <c r="C2941" s="437"/>
      <c r="D2941" s="494"/>
      <c r="E2941" s="495"/>
      <c r="F2941" s="540">
        <f t="shared" ref="F2941:G2941" si="2307">E2941*1.1</f>
        <v>0</v>
      </c>
      <c r="G2941" s="540">
        <f t="shared" si="2307"/>
        <v>0</v>
      </c>
    </row>
    <row r="2942" spans="1:7" ht="15.75" outlineLevel="1">
      <c r="A2942" s="614" t="s">
        <v>233</v>
      </c>
      <c r="B2942" s="614"/>
      <c r="C2942" s="443" t="s">
        <v>817</v>
      </c>
      <c r="D2942" s="492"/>
      <c r="E2942" s="495"/>
      <c r="F2942" s="540">
        <f t="shared" ref="F2942:G2942" si="2308">E2942*1.1</f>
        <v>0</v>
      </c>
      <c r="G2942" s="540">
        <f t="shared" si="2308"/>
        <v>0</v>
      </c>
    </row>
    <row r="2943" spans="1:7" ht="15.75" outlineLevel="1">
      <c r="A2943" s="614"/>
      <c r="B2943" s="614" t="s">
        <v>98</v>
      </c>
      <c r="C2943" s="443" t="s">
        <v>818</v>
      </c>
      <c r="D2943" s="492"/>
      <c r="E2943" s="495"/>
      <c r="F2943" s="540">
        <f t="shared" ref="F2943:G2943" si="2309">E2943*1.1</f>
        <v>0</v>
      </c>
      <c r="G2943" s="540">
        <f t="shared" si="2309"/>
        <v>0</v>
      </c>
    </row>
    <row r="2944" spans="1:7" ht="15.75" outlineLevel="2">
      <c r="A2944" s="384"/>
      <c r="B2944" s="384"/>
      <c r="C2944" s="443">
        <v>2210100</v>
      </c>
      <c r="D2944" s="492" t="s">
        <v>16</v>
      </c>
      <c r="E2944" s="615">
        <f>SUM(E2945)</f>
        <v>49000</v>
      </c>
      <c r="F2944" s="540">
        <f t="shared" ref="F2944:G2944" si="2310">E2944*1.1</f>
        <v>53900.000000000007</v>
      </c>
      <c r="G2944" s="540">
        <f t="shared" si="2310"/>
        <v>59290.000000000015</v>
      </c>
    </row>
    <row r="2945" spans="1:7" ht="15.75" outlineLevel="2">
      <c r="A2945" s="614"/>
      <c r="B2945" s="614"/>
      <c r="C2945" s="437">
        <v>2210101</v>
      </c>
      <c r="D2945" s="494" t="s">
        <v>17</v>
      </c>
      <c r="E2945" s="495">
        <v>49000</v>
      </c>
      <c r="F2945" s="540">
        <f t="shared" ref="F2945:G2945" si="2311">E2945*1.1</f>
        <v>53900.000000000007</v>
      </c>
      <c r="G2945" s="540">
        <f t="shared" si="2311"/>
        <v>59290.000000000015</v>
      </c>
    </row>
    <row r="2946" spans="1:7" ht="15.75" outlineLevel="2">
      <c r="A2946" s="384"/>
      <c r="B2946" s="384"/>
      <c r="C2946" s="443">
        <v>2210200</v>
      </c>
      <c r="D2946" s="492" t="s">
        <v>19</v>
      </c>
      <c r="E2946" s="615">
        <f>SUM(E2947:E2948)</f>
        <v>137460</v>
      </c>
      <c r="F2946" s="540">
        <f t="shared" ref="F2946:G2946" si="2312">E2946*1.1</f>
        <v>151206</v>
      </c>
      <c r="G2946" s="540">
        <f t="shared" si="2312"/>
        <v>166326.6</v>
      </c>
    </row>
    <row r="2947" spans="1:7" ht="15.75" outlineLevel="2">
      <c r="A2947" s="614"/>
      <c r="B2947" s="614"/>
      <c r="C2947" s="437">
        <v>2210201</v>
      </c>
      <c r="D2947" s="494" t="s">
        <v>236</v>
      </c>
      <c r="E2947" s="495">
        <f>57000+80000-30000</f>
        <v>107000</v>
      </c>
      <c r="F2947" s="540">
        <f t="shared" ref="F2947:G2947" si="2313">E2947*1.1</f>
        <v>117700.00000000001</v>
      </c>
      <c r="G2947" s="540">
        <f t="shared" si="2313"/>
        <v>129470.00000000003</v>
      </c>
    </row>
    <row r="2948" spans="1:7" ht="15.75" outlineLevel="2">
      <c r="A2948" s="614"/>
      <c r="B2948" s="614"/>
      <c r="C2948" s="437">
        <v>2210202</v>
      </c>
      <c r="D2948" s="494" t="s">
        <v>21</v>
      </c>
      <c r="E2948" s="495">
        <v>30460</v>
      </c>
      <c r="F2948" s="540">
        <f t="shared" ref="F2948:G2948" si="2314">E2948*1.1</f>
        <v>33506</v>
      </c>
      <c r="G2948" s="540">
        <f t="shared" si="2314"/>
        <v>36856.600000000006</v>
      </c>
    </row>
    <row r="2949" spans="1:7" ht="30" outlineLevel="2">
      <c r="A2949" s="384"/>
      <c r="B2949" s="384"/>
      <c r="C2949" s="443">
        <v>2210300</v>
      </c>
      <c r="D2949" s="492" t="s">
        <v>23</v>
      </c>
      <c r="E2949" s="615">
        <f>SUM(E2950:E2953)</f>
        <v>993000</v>
      </c>
      <c r="F2949" s="540">
        <f t="shared" ref="F2949:G2949" si="2315">E2949*1.1</f>
        <v>1092300</v>
      </c>
      <c r="G2949" s="540">
        <f t="shared" si="2315"/>
        <v>1201530</v>
      </c>
    </row>
    <row r="2950" spans="1:7" ht="15.75" outlineLevel="2">
      <c r="A2950" s="614"/>
      <c r="B2950" s="614"/>
      <c r="C2950" s="437">
        <v>2210301</v>
      </c>
      <c r="D2950" s="494" t="s">
        <v>208</v>
      </c>
      <c r="E2950" s="495">
        <f>174000+150000</f>
        <v>324000</v>
      </c>
      <c r="F2950" s="540">
        <f t="shared" ref="F2950:G2950" si="2316">E2950*1.1</f>
        <v>356400</v>
      </c>
      <c r="G2950" s="540">
        <f t="shared" si="2316"/>
        <v>392040.00000000006</v>
      </c>
    </row>
    <row r="2951" spans="1:7" ht="15.75" outlineLevel="2">
      <c r="A2951" s="614"/>
      <c r="B2951" s="614"/>
      <c r="C2951" s="437">
        <v>2210302</v>
      </c>
      <c r="D2951" s="494" t="s">
        <v>25</v>
      </c>
      <c r="E2951" s="495">
        <f>174000+150000</f>
        <v>324000</v>
      </c>
      <c r="F2951" s="540">
        <f t="shared" ref="F2951:G2951" si="2317">E2951*1.1</f>
        <v>356400</v>
      </c>
      <c r="G2951" s="540">
        <f t="shared" si="2317"/>
        <v>392040.00000000006</v>
      </c>
    </row>
    <row r="2952" spans="1:7" ht="15.75" outlineLevel="2">
      <c r="A2952" s="614"/>
      <c r="B2952" s="614"/>
      <c r="C2952" s="437">
        <v>2210303</v>
      </c>
      <c r="D2952" s="494" t="s">
        <v>259</v>
      </c>
      <c r="E2952" s="495">
        <f>145000+70000</f>
        <v>215000</v>
      </c>
      <c r="F2952" s="540">
        <f t="shared" ref="F2952:G2952" si="2318">E2952*1.1</f>
        <v>236500.00000000003</v>
      </c>
      <c r="G2952" s="540">
        <f t="shared" si="2318"/>
        <v>260150.00000000006</v>
      </c>
    </row>
    <row r="2953" spans="1:7" ht="15.75" outlineLevel="2">
      <c r="A2953" s="614"/>
      <c r="B2953" s="614"/>
      <c r="C2953" s="437">
        <v>2210310</v>
      </c>
      <c r="D2953" s="494" t="s">
        <v>237</v>
      </c>
      <c r="E2953" s="495">
        <f>80000+50000</f>
        <v>130000</v>
      </c>
      <c r="F2953" s="540">
        <f t="shared" ref="F2953:G2953" si="2319">E2953*1.1</f>
        <v>143000</v>
      </c>
      <c r="G2953" s="540">
        <f t="shared" si="2319"/>
        <v>157300</v>
      </c>
    </row>
    <row r="2954" spans="1:7" ht="15.75" outlineLevel="2">
      <c r="A2954" s="384"/>
      <c r="B2954" s="384"/>
      <c r="C2954" s="443">
        <v>2210500</v>
      </c>
      <c r="D2954" s="492" t="s">
        <v>30</v>
      </c>
      <c r="E2954" s="615">
        <f>SUM(E2955)</f>
        <v>35721534</v>
      </c>
      <c r="F2954" s="540">
        <f t="shared" ref="F2954:G2954" si="2320">E2954*1.1</f>
        <v>39293687.400000006</v>
      </c>
      <c r="G2954" s="540">
        <f t="shared" si="2320"/>
        <v>43223056.140000008</v>
      </c>
    </row>
    <row r="2955" spans="1:7" ht="30" outlineLevel="2">
      <c r="A2955" s="614"/>
      <c r="B2955" s="614"/>
      <c r="C2955" s="389" t="s">
        <v>819</v>
      </c>
      <c r="D2955" s="494" t="s">
        <v>820</v>
      </c>
      <c r="E2955" s="495">
        <v>35721534</v>
      </c>
      <c r="F2955" s="540">
        <f t="shared" ref="F2955:G2955" si="2321">E2955*1.1</f>
        <v>39293687.400000006</v>
      </c>
      <c r="G2955" s="540">
        <f t="shared" si="2321"/>
        <v>43223056.140000008</v>
      </c>
    </row>
    <row r="2956" spans="1:7" ht="15.75" outlineLevel="2">
      <c r="A2956" s="384"/>
      <c r="B2956" s="384"/>
      <c r="C2956" s="443">
        <v>2210700</v>
      </c>
      <c r="D2956" s="492" t="s">
        <v>34</v>
      </c>
      <c r="E2956" s="615">
        <f>E2957+E2958+E2959</f>
        <v>4656200</v>
      </c>
      <c r="F2956" s="540">
        <f t="shared" ref="F2956:G2956" si="2322">E2956*1.1</f>
        <v>5121820</v>
      </c>
      <c r="G2956" s="540">
        <f t="shared" si="2322"/>
        <v>5634002</v>
      </c>
    </row>
    <row r="2957" spans="1:7" ht="15.75" outlineLevel="2">
      <c r="A2957" s="614"/>
      <c r="B2957" s="614"/>
      <c r="C2957" s="437">
        <v>2210701</v>
      </c>
      <c r="D2957" s="494" t="s">
        <v>35</v>
      </c>
      <c r="E2957" s="495">
        <v>100000</v>
      </c>
      <c r="F2957" s="540">
        <f t="shared" ref="F2957:G2957" si="2323">E2957*1.1</f>
        <v>110000.00000000001</v>
      </c>
      <c r="G2957" s="540">
        <f t="shared" si="2323"/>
        <v>121000.00000000003</v>
      </c>
    </row>
    <row r="2958" spans="1:7" ht="30" outlineLevel="2">
      <c r="A2958" s="614"/>
      <c r="B2958" s="614"/>
      <c r="C2958" s="437">
        <v>2210707</v>
      </c>
      <c r="D2958" s="494" t="s">
        <v>821</v>
      </c>
      <c r="E2958" s="495">
        <f>4440000-73800</f>
        <v>4366200</v>
      </c>
      <c r="F2958" s="540">
        <f t="shared" ref="F2958:G2958" si="2324">E2958*1.1</f>
        <v>4802820</v>
      </c>
      <c r="G2958" s="540">
        <f t="shared" si="2324"/>
        <v>5283102</v>
      </c>
    </row>
    <row r="2959" spans="1:7" ht="15.75" outlineLevel="2">
      <c r="A2959" s="614"/>
      <c r="B2959" s="614"/>
      <c r="C2959" s="437">
        <v>2210715</v>
      </c>
      <c r="D2959" s="494" t="s">
        <v>39</v>
      </c>
      <c r="E2959" s="495">
        <v>190000</v>
      </c>
      <c r="F2959" s="540">
        <f t="shared" ref="F2959:G2959" si="2325">E2959*1.1</f>
        <v>209000.00000000003</v>
      </c>
      <c r="G2959" s="540">
        <f t="shared" si="2325"/>
        <v>229900.00000000006</v>
      </c>
    </row>
    <row r="2960" spans="1:7" ht="15.75" outlineLevel="2">
      <c r="A2960" s="384"/>
      <c r="B2960" s="384"/>
      <c r="C2960" s="443">
        <v>2210800</v>
      </c>
      <c r="D2960" s="492" t="s">
        <v>41</v>
      </c>
      <c r="E2960" s="615">
        <f>SUM(E2961:E2962)</f>
        <v>224740</v>
      </c>
      <c r="F2960" s="540">
        <f t="shared" ref="F2960:G2960" si="2326">E2960*1.1</f>
        <v>247214.00000000003</v>
      </c>
      <c r="G2960" s="540">
        <f t="shared" si="2326"/>
        <v>271935.40000000008</v>
      </c>
    </row>
    <row r="2961" spans="1:7" ht="30" outlineLevel="2">
      <c r="A2961" s="614"/>
      <c r="B2961" s="614"/>
      <c r="C2961" s="437">
        <v>2210801</v>
      </c>
      <c r="D2961" s="494" t="s">
        <v>240</v>
      </c>
      <c r="E2961" s="495">
        <v>139200</v>
      </c>
      <c r="F2961" s="540">
        <f t="shared" ref="F2961:G2961" si="2327">E2961*1.1</f>
        <v>153120</v>
      </c>
      <c r="G2961" s="540">
        <f t="shared" si="2327"/>
        <v>168432</v>
      </c>
    </row>
    <row r="2962" spans="1:7" ht="15.75" outlineLevel="2">
      <c r="A2962" s="614"/>
      <c r="B2962" s="614"/>
      <c r="C2962" s="437">
        <v>2210802</v>
      </c>
      <c r="D2962" s="494" t="s">
        <v>86</v>
      </c>
      <c r="E2962" s="495">
        <f>116000-30460</f>
        <v>85540</v>
      </c>
      <c r="F2962" s="540">
        <f t="shared" ref="F2962:G2962" si="2328">E2962*1.1</f>
        <v>94094.000000000015</v>
      </c>
      <c r="G2962" s="540">
        <f t="shared" si="2328"/>
        <v>103503.40000000002</v>
      </c>
    </row>
    <row r="2963" spans="1:7" ht="15.75" outlineLevel="2">
      <c r="A2963" s="384"/>
      <c r="B2963" s="384"/>
      <c r="C2963" s="443">
        <v>2211000</v>
      </c>
      <c r="D2963" s="492" t="s">
        <v>173</v>
      </c>
      <c r="E2963" s="615">
        <f>SUM(E2964:E2965)</f>
        <v>2748003</v>
      </c>
      <c r="F2963" s="540">
        <f t="shared" ref="F2963:G2963" si="2329">E2963*1.1</f>
        <v>3022803.3000000003</v>
      </c>
      <c r="G2963" s="540">
        <f t="shared" si="2329"/>
        <v>3325083.6300000004</v>
      </c>
    </row>
    <row r="2964" spans="1:7" ht="15.75" outlineLevel="2">
      <c r="A2964" s="614"/>
      <c r="B2964" s="614"/>
      <c r="C2964" s="437">
        <v>2211016</v>
      </c>
      <c r="D2964" s="494" t="s">
        <v>219</v>
      </c>
      <c r="E2964" s="495">
        <v>29000</v>
      </c>
      <c r="F2964" s="540">
        <f t="shared" ref="F2964:G2964" si="2330">E2964*1.1</f>
        <v>31900.000000000004</v>
      </c>
      <c r="G2964" s="540">
        <f t="shared" si="2330"/>
        <v>35090.000000000007</v>
      </c>
    </row>
    <row r="2965" spans="1:7" ht="15.75" outlineLevel="2">
      <c r="A2965" s="614"/>
      <c r="B2965" s="614"/>
      <c r="C2965" s="437">
        <v>2211031</v>
      </c>
      <c r="D2965" s="494" t="s">
        <v>822</v>
      </c>
      <c r="E2965" s="495">
        <v>2719003</v>
      </c>
      <c r="F2965" s="540">
        <f t="shared" ref="F2965:G2965" si="2331">E2965*1.1</f>
        <v>2990903.3000000003</v>
      </c>
      <c r="G2965" s="540">
        <f t="shared" si="2331"/>
        <v>3289993.6300000004</v>
      </c>
    </row>
    <row r="2966" spans="1:7" ht="15.75" outlineLevel="2">
      <c r="A2966" s="384"/>
      <c r="B2966" s="384"/>
      <c r="C2966" s="443">
        <v>2211100</v>
      </c>
      <c r="D2966" s="492" t="s">
        <v>49</v>
      </c>
      <c r="E2966" s="615">
        <f>SUM(E2967:E2968)</f>
        <v>256000</v>
      </c>
      <c r="F2966" s="540">
        <f t="shared" ref="F2966:G2966" si="2332">E2966*1.1</f>
        <v>281600</v>
      </c>
      <c r="G2966" s="540">
        <f t="shared" si="2332"/>
        <v>309760</v>
      </c>
    </row>
    <row r="2967" spans="1:7" ht="30" outlineLevel="2">
      <c r="A2967" s="614"/>
      <c r="B2967" s="614"/>
      <c r="C2967" s="437">
        <v>2211101</v>
      </c>
      <c r="D2967" s="494" t="s">
        <v>50</v>
      </c>
      <c r="E2967" s="495">
        <v>140000</v>
      </c>
      <c r="F2967" s="540">
        <f t="shared" ref="F2967:G2967" si="2333">E2967*1.1</f>
        <v>154000</v>
      </c>
      <c r="G2967" s="540">
        <f t="shared" si="2333"/>
        <v>169400</v>
      </c>
    </row>
    <row r="2968" spans="1:7" ht="15.75" outlineLevel="2">
      <c r="A2968" s="614"/>
      <c r="B2968" s="614"/>
      <c r="C2968" s="437">
        <v>2211102</v>
      </c>
      <c r="D2968" s="494" t="s">
        <v>51</v>
      </c>
      <c r="E2968" s="495">
        <f>58000*2</f>
        <v>116000</v>
      </c>
      <c r="F2968" s="540">
        <f t="shared" ref="F2968:G2968" si="2334">E2968*1.1</f>
        <v>127600.00000000001</v>
      </c>
      <c r="G2968" s="540">
        <f t="shared" si="2334"/>
        <v>140360.00000000003</v>
      </c>
    </row>
    <row r="2969" spans="1:7" ht="15.75" outlineLevel="2">
      <c r="A2969" s="384"/>
      <c r="B2969" s="384"/>
      <c r="C2969" s="443">
        <v>2211200</v>
      </c>
      <c r="D2969" s="492" t="s">
        <v>53</v>
      </c>
      <c r="E2969" s="615">
        <f>SUM(E2970)</f>
        <v>470800</v>
      </c>
      <c r="F2969" s="540">
        <f t="shared" ref="F2969:G2969" si="2335">E2969*1.1</f>
        <v>517880.00000000006</v>
      </c>
      <c r="G2969" s="540">
        <f t="shared" si="2335"/>
        <v>569668.00000000012</v>
      </c>
    </row>
    <row r="2970" spans="1:7" ht="15.75" outlineLevel="2">
      <c r="A2970" s="614"/>
      <c r="B2970" s="614"/>
      <c r="C2970" s="437">
        <v>2211201</v>
      </c>
      <c r="D2970" s="494" t="s">
        <v>91</v>
      </c>
      <c r="E2970" s="495">
        <f>517000-46200</f>
        <v>470800</v>
      </c>
      <c r="F2970" s="540">
        <f t="shared" ref="F2970:G2970" si="2336">E2970*1.1</f>
        <v>517880.00000000006</v>
      </c>
      <c r="G2970" s="540">
        <f t="shared" si="2336"/>
        <v>569668.00000000012</v>
      </c>
    </row>
    <row r="2971" spans="1:7" ht="15.75" outlineLevel="2">
      <c r="A2971" s="614"/>
      <c r="B2971" s="614"/>
      <c r="C2971" s="591">
        <v>2211300</v>
      </c>
      <c r="D2971" s="477" t="s">
        <v>55</v>
      </c>
      <c r="E2971" s="507">
        <f>E2972</f>
        <v>2031506</v>
      </c>
      <c r="F2971" s="540">
        <f t="shared" ref="F2971:G2971" si="2337">E2971*1.1</f>
        <v>2234656.6</v>
      </c>
      <c r="G2971" s="540">
        <f t="shared" si="2337"/>
        <v>2458122.2600000002</v>
      </c>
    </row>
    <row r="2972" spans="1:7" ht="45" outlineLevel="2">
      <c r="A2972" s="614"/>
      <c r="B2972" s="614"/>
      <c r="C2972" s="437">
        <v>2211306</v>
      </c>
      <c r="D2972" s="494" t="s">
        <v>823</v>
      </c>
      <c r="E2972" s="495">
        <f>2561506-90000-400000-40000</f>
        <v>2031506</v>
      </c>
      <c r="F2972" s="540">
        <f t="shared" ref="F2972:G2972" si="2338">E2972*1.1</f>
        <v>2234656.6</v>
      </c>
      <c r="G2972" s="540">
        <f t="shared" si="2338"/>
        <v>2458122.2600000002</v>
      </c>
    </row>
    <row r="2973" spans="1:7" ht="30" outlineLevel="2">
      <c r="A2973" s="384"/>
      <c r="B2973" s="384"/>
      <c r="C2973" s="443">
        <v>2220100</v>
      </c>
      <c r="D2973" s="492" t="s">
        <v>61</v>
      </c>
      <c r="E2973" s="615">
        <f>SUM(E2974)</f>
        <v>119200</v>
      </c>
      <c r="F2973" s="540">
        <f t="shared" ref="F2973:G2973" si="2339">E2973*1.1</f>
        <v>131120</v>
      </c>
      <c r="G2973" s="540">
        <f t="shared" si="2339"/>
        <v>144232</v>
      </c>
    </row>
    <row r="2974" spans="1:7" ht="15.75" outlineLevel="2">
      <c r="A2974" s="614"/>
      <c r="B2974" s="614"/>
      <c r="C2974" s="437">
        <v>2220101</v>
      </c>
      <c r="D2974" s="494" t="s">
        <v>225</v>
      </c>
      <c r="E2974" s="495">
        <f>59600*2</f>
        <v>119200</v>
      </c>
      <c r="F2974" s="540">
        <f t="shared" ref="F2974:G2974" si="2340">E2974*1.1</f>
        <v>131120</v>
      </c>
      <c r="G2974" s="540">
        <f t="shared" si="2340"/>
        <v>144232</v>
      </c>
    </row>
    <row r="2975" spans="1:7" ht="15.75" outlineLevel="2">
      <c r="A2975" s="384"/>
      <c r="B2975" s="384"/>
      <c r="C2975" s="443">
        <v>2220200</v>
      </c>
      <c r="D2975" s="492" t="s">
        <v>179</v>
      </c>
      <c r="E2975" s="615">
        <f>SUM(E2976:E2977)</f>
        <v>48000</v>
      </c>
      <c r="F2975" s="540">
        <f t="shared" ref="F2975:G2975" si="2341">E2975*1.1</f>
        <v>52800.000000000007</v>
      </c>
      <c r="G2975" s="540">
        <f t="shared" si="2341"/>
        <v>58080.000000000015</v>
      </c>
    </row>
    <row r="2976" spans="1:7" ht="15.75" outlineLevel="2">
      <c r="A2976" s="614"/>
      <c r="B2976" s="614"/>
      <c r="C2976" s="437">
        <v>2220202</v>
      </c>
      <c r="D2976" s="494" t="s">
        <v>63</v>
      </c>
      <c r="E2976" s="495">
        <v>30600</v>
      </c>
      <c r="F2976" s="540">
        <f t="shared" ref="F2976:G2976" si="2342">E2976*1.1</f>
        <v>33660</v>
      </c>
      <c r="G2976" s="540">
        <f t="shared" si="2342"/>
        <v>37026</v>
      </c>
    </row>
    <row r="2977" spans="1:7" ht="15.75" outlineLevel="2">
      <c r="A2977" s="614"/>
      <c r="B2977" s="614"/>
      <c r="C2977" s="437">
        <v>2220210</v>
      </c>
      <c r="D2977" s="494" t="s">
        <v>181</v>
      </c>
      <c r="E2977" s="495">
        <v>17400</v>
      </c>
      <c r="F2977" s="540">
        <f t="shared" ref="F2977:G2977" si="2343">E2977*1.1</f>
        <v>19140</v>
      </c>
      <c r="G2977" s="540">
        <f t="shared" si="2343"/>
        <v>21054</v>
      </c>
    </row>
    <row r="2978" spans="1:7" ht="15.75" outlineLevel="1">
      <c r="A2978" s="621"/>
      <c r="B2978" s="621"/>
      <c r="C2978" s="438"/>
      <c r="D2978" s="490" t="s">
        <v>824</v>
      </c>
      <c r="E2978" s="432">
        <f>E2944+E2946+E2949+E2956+E2960+E2963+E2966+E2969+E2971+E2973+E2975+E2954</f>
        <v>47455443</v>
      </c>
      <c r="F2978" s="540">
        <f t="shared" ref="F2978:G2978" si="2344">E2978*1.1</f>
        <v>52200987.300000004</v>
      </c>
      <c r="G2978" s="540">
        <f t="shared" si="2344"/>
        <v>57421086.030000009</v>
      </c>
    </row>
    <row r="2979" spans="1:7" ht="15.75" outlineLevel="1">
      <c r="A2979" s="384"/>
      <c r="B2979" s="384"/>
      <c r="C2979" s="443"/>
      <c r="D2979" s="492"/>
      <c r="E2979" s="615"/>
      <c r="F2979" s="540">
        <f t="shared" ref="F2979:G2979" si="2345">E2979*1.1</f>
        <v>0</v>
      </c>
      <c r="G2979" s="540">
        <f t="shared" si="2345"/>
        <v>0</v>
      </c>
    </row>
    <row r="2980" spans="1:7" ht="15.75" outlineLevel="1">
      <c r="A2980" s="621"/>
      <c r="B2980" s="621"/>
      <c r="C2980" s="438"/>
      <c r="D2980" s="490" t="s">
        <v>825</v>
      </c>
      <c r="E2980" s="432">
        <f>E2978</f>
        <v>47455443</v>
      </c>
      <c r="F2980" s="540">
        <f t="shared" ref="F2980:G2980" si="2346">E2980*1.1</f>
        <v>52200987.300000004</v>
      </c>
      <c r="G2980" s="540">
        <f t="shared" si="2346"/>
        <v>57421086.030000009</v>
      </c>
    </row>
    <row r="2981" spans="1:7" ht="15.75" outlineLevel="1">
      <c r="A2981" s="614"/>
      <c r="B2981" s="614"/>
      <c r="C2981" s="437"/>
      <c r="D2981" s="494"/>
      <c r="E2981" s="495"/>
      <c r="F2981" s="540">
        <f t="shared" ref="F2981:G2981" si="2347">E2981*1.1</f>
        <v>0</v>
      </c>
      <c r="G2981" s="540">
        <f t="shared" si="2347"/>
        <v>0</v>
      </c>
    </row>
    <row r="2982" spans="1:7" ht="15.75" outlineLevel="1">
      <c r="A2982" s="384" t="s">
        <v>233</v>
      </c>
      <c r="B2982" s="614" t="s">
        <v>98</v>
      </c>
      <c r="C2982" s="443" t="s">
        <v>826</v>
      </c>
      <c r="D2982" s="492"/>
      <c r="E2982" s="495"/>
      <c r="F2982" s="540">
        <f t="shared" ref="F2982:G2982" si="2348">E2982*1.1</f>
        <v>0</v>
      </c>
      <c r="G2982" s="540">
        <f t="shared" si="2348"/>
        <v>0</v>
      </c>
    </row>
    <row r="2983" spans="1:7" ht="15.75" outlineLevel="3">
      <c r="A2983" s="384"/>
      <c r="B2983" s="384"/>
      <c r="C2983" s="443">
        <v>2210100</v>
      </c>
      <c r="D2983" s="492" t="s">
        <v>16</v>
      </c>
      <c r="E2983" s="615">
        <f>SUM(E2984:E2985)</f>
        <v>109600</v>
      </c>
      <c r="F2983" s="540">
        <f t="shared" ref="F2983:G2983" si="2349">E2983*1.1</f>
        <v>120560.00000000001</v>
      </c>
      <c r="G2983" s="540">
        <f t="shared" si="2349"/>
        <v>132616.00000000003</v>
      </c>
    </row>
    <row r="2984" spans="1:7" ht="15.75" outlineLevel="3">
      <c r="A2984" s="614"/>
      <c r="B2984" s="614"/>
      <c r="C2984" s="437">
        <v>2210101</v>
      </c>
      <c r="D2984" s="494" t="s">
        <v>17</v>
      </c>
      <c r="E2984" s="495">
        <v>52200</v>
      </c>
      <c r="F2984" s="540">
        <f t="shared" ref="F2984:G2984" si="2350">E2984*1.1</f>
        <v>57420.000000000007</v>
      </c>
      <c r="G2984" s="540">
        <f t="shared" si="2350"/>
        <v>63162.000000000015</v>
      </c>
    </row>
    <row r="2985" spans="1:7" ht="15.75" outlineLevel="3">
      <c r="A2985" s="614"/>
      <c r="B2985" s="614"/>
      <c r="C2985" s="437">
        <v>2210102</v>
      </c>
      <c r="D2985" s="494" t="s">
        <v>18</v>
      </c>
      <c r="E2985" s="495">
        <v>57400</v>
      </c>
      <c r="F2985" s="540">
        <f t="shared" ref="F2985:G2985" si="2351">E2985*1.1</f>
        <v>63140.000000000007</v>
      </c>
      <c r="G2985" s="540">
        <f t="shared" si="2351"/>
        <v>69454.000000000015</v>
      </c>
    </row>
    <row r="2986" spans="1:7" ht="15.75" outlineLevel="3">
      <c r="A2986" s="384"/>
      <c r="B2986" s="384"/>
      <c r="C2986" s="443">
        <v>2210200</v>
      </c>
      <c r="D2986" s="492" t="s">
        <v>19</v>
      </c>
      <c r="E2986" s="615">
        <f>SUM(E2987)</f>
        <v>58000</v>
      </c>
      <c r="F2986" s="540">
        <f t="shared" ref="F2986:G2986" si="2352">E2986*1.1</f>
        <v>63800.000000000007</v>
      </c>
      <c r="G2986" s="540">
        <f t="shared" si="2352"/>
        <v>70180.000000000015</v>
      </c>
    </row>
    <row r="2987" spans="1:7" ht="15.75" outlineLevel="3">
      <c r="A2987" s="614"/>
      <c r="B2987" s="614"/>
      <c r="C2987" s="437">
        <v>2210201</v>
      </c>
      <c r="D2987" s="494" t="s">
        <v>236</v>
      </c>
      <c r="E2987" s="495">
        <v>58000</v>
      </c>
      <c r="F2987" s="540">
        <f t="shared" ref="F2987:G2987" si="2353">E2987*1.1</f>
        <v>63800.000000000007</v>
      </c>
      <c r="G2987" s="540">
        <f t="shared" si="2353"/>
        <v>70180.000000000015</v>
      </c>
    </row>
    <row r="2988" spans="1:7" ht="30" outlineLevel="3">
      <c r="A2988" s="384"/>
      <c r="B2988" s="384"/>
      <c r="C2988" s="443">
        <v>2210300</v>
      </c>
      <c r="D2988" s="492" t="s">
        <v>23</v>
      </c>
      <c r="E2988" s="615">
        <f>SUM(E2989:E2991)</f>
        <v>371600</v>
      </c>
      <c r="F2988" s="540">
        <f t="shared" ref="F2988:G2988" si="2354">E2988*1.1</f>
        <v>408760.00000000006</v>
      </c>
      <c r="G2988" s="540">
        <f t="shared" si="2354"/>
        <v>449636.00000000012</v>
      </c>
    </row>
    <row r="2989" spans="1:7" ht="15.75" outlineLevel="3">
      <c r="A2989" s="614"/>
      <c r="B2989" s="614"/>
      <c r="C2989" s="437">
        <v>2210301</v>
      </c>
      <c r="D2989" s="494" t="s">
        <v>208</v>
      </c>
      <c r="E2989" s="495">
        <v>116000</v>
      </c>
      <c r="F2989" s="540">
        <f t="shared" ref="F2989:G2989" si="2355">E2989*1.1</f>
        <v>127600.00000000001</v>
      </c>
      <c r="G2989" s="540">
        <f t="shared" si="2355"/>
        <v>140360.00000000003</v>
      </c>
    </row>
    <row r="2990" spans="1:7" ht="15.75" outlineLevel="3">
      <c r="A2990" s="614"/>
      <c r="B2990" s="614"/>
      <c r="C2990" s="437">
        <v>2210302</v>
      </c>
      <c r="D2990" s="494" t="s">
        <v>25</v>
      </c>
      <c r="E2990" s="495">
        <v>157000</v>
      </c>
      <c r="F2990" s="540">
        <f t="shared" ref="F2990:G2990" si="2356">E2990*1.1</f>
        <v>172700</v>
      </c>
      <c r="G2990" s="540">
        <f t="shared" si="2356"/>
        <v>189970.00000000003</v>
      </c>
    </row>
    <row r="2991" spans="1:7" ht="15.75" outlineLevel="3">
      <c r="A2991" s="614"/>
      <c r="B2991" s="614"/>
      <c r="C2991" s="437">
        <v>2210303</v>
      </c>
      <c r="D2991" s="494" t="s">
        <v>259</v>
      </c>
      <c r="E2991" s="495">
        <v>98600</v>
      </c>
      <c r="F2991" s="540">
        <f t="shared" ref="F2991:G2991" si="2357">E2991*1.1</f>
        <v>108460.00000000001</v>
      </c>
      <c r="G2991" s="540">
        <f t="shared" si="2357"/>
        <v>119306.00000000003</v>
      </c>
    </row>
    <row r="2992" spans="1:7" ht="15.75" outlineLevel="3">
      <c r="A2992" s="384"/>
      <c r="B2992" s="384"/>
      <c r="C2992" s="443">
        <v>2210500</v>
      </c>
      <c r="D2992" s="492" t="s">
        <v>30</v>
      </c>
      <c r="E2992" s="615">
        <f>SUM(E2993)</f>
        <v>87000</v>
      </c>
      <c r="F2992" s="540">
        <f t="shared" ref="F2992:G2992" si="2358">E2992*1.1</f>
        <v>95700.000000000015</v>
      </c>
      <c r="G2992" s="540">
        <f t="shared" si="2358"/>
        <v>105270.00000000003</v>
      </c>
    </row>
    <row r="2993" spans="1:7" ht="15.75" outlineLevel="3">
      <c r="A2993" s="614"/>
      <c r="B2993" s="614"/>
      <c r="C2993" s="437">
        <v>2210504</v>
      </c>
      <c r="D2993" s="494" t="s">
        <v>32</v>
      </c>
      <c r="E2993" s="495">
        <v>87000</v>
      </c>
      <c r="F2993" s="540">
        <f t="shared" ref="F2993:G2993" si="2359">E2993*1.1</f>
        <v>95700.000000000015</v>
      </c>
      <c r="G2993" s="540">
        <f t="shared" si="2359"/>
        <v>105270.00000000003</v>
      </c>
    </row>
    <row r="2994" spans="1:7" ht="15.75" outlineLevel="3">
      <c r="A2994" s="384"/>
      <c r="B2994" s="384"/>
      <c r="C2994" s="443">
        <v>2210800</v>
      </c>
      <c r="D2994" s="492" t="s">
        <v>41</v>
      </c>
      <c r="E2994" s="615">
        <f>SUM(E2995)</f>
        <v>58000</v>
      </c>
      <c r="F2994" s="540">
        <f t="shared" ref="F2994:G2994" si="2360">E2994*1.1</f>
        <v>63800.000000000007</v>
      </c>
      <c r="G2994" s="540">
        <f t="shared" si="2360"/>
        <v>70180.000000000015</v>
      </c>
    </row>
    <row r="2995" spans="1:7" ht="15.75" outlineLevel="3">
      <c r="A2995" s="614"/>
      <c r="B2995" s="614"/>
      <c r="C2995" s="437">
        <v>2210802</v>
      </c>
      <c r="D2995" s="494" t="s">
        <v>86</v>
      </c>
      <c r="E2995" s="495">
        <v>58000</v>
      </c>
      <c r="F2995" s="540">
        <f t="shared" ref="F2995:G2995" si="2361">E2995*1.1</f>
        <v>63800.000000000007</v>
      </c>
      <c r="G2995" s="540">
        <f t="shared" si="2361"/>
        <v>70180.000000000015</v>
      </c>
    </row>
    <row r="2996" spans="1:7" ht="15.75" outlineLevel="3">
      <c r="A2996" s="384"/>
      <c r="B2996" s="384"/>
      <c r="C2996" s="443">
        <v>2211100</v>
      </c>
      <c r="D2996" s="492" t="s">
        <v>49</v>
      </c>
      <c r="E2996" s="615">
        <f>SUM(E2997:E2997)</f>
        <v>139200</v>
      </c>
      <c r="F2996" s="540">
        <f t="shared" ref="F2996:G2996" si="2362">E2996*1.1</f>
        <v>153120</v>
      </c>
      <c r="G2996" s="540">
        <f t="shared" si="2362"/>
        <v>168432</v>
      </c>
    </row>
    <row r="2997" spans="1:7" ht="30" outlineLevel="3">
      <c r="A2997" s="614"/>
      <c r="B2997" s="614"/>
      <c r="C2997" s="437">
        <v>2211101</v>
      </c>
      <c r="D2997" s="494" t="s">
        <v>50</v>
      </c>
      <c r="E2997" s="495">
        <f>69600*2</f>
        <v>139200</v>
      </c>
      <c r="F2997" s="540">
        <f t="shared" ref="F2997:G2997" si="2363">E2997*1.1</f>
        <v>153120</v>
      </c>
      <c r="G2997" s="540">
        <f t="shared" si="2363"/>
        <v>168432</v>
      </c>
    </row>
    <row r="2998" spans="1:7" ht="15.75" outlineLevel="3">
      <c r="A2998" s="384"/>
      <c r="B2998" s="384"/>
      <c r="C2998" s="443">
        <v>2211200</v>
      </c>
      <c r="D2998" s="492" t="s">
        <v>53</v>
      </c>
      <c r="E2998" s="615">
        <f>SUM(E2999)</f>
        <v>245000</v>
      </c>
      <c r="F2998" s="540">
        <f t="shared" ref="F2998:G2998" si="2364">E2998*1.1</f>
        <v>269500</v>
      </c>
      <c r="G2998" s="540">
        <f t="shared" si="2364"/>
        <v>296450</v>
      </c>
    </row>
    <row r="2999" spans="1:7" ht="15.75" outlineLevel="3">
      <c r="A2999" s="614"/>
      <c r="B2999" s="614"/>
      <c r="C2999" s="437">
        <v>2211201</v>
      </c>
      <c r="D2999" s="494" t="s">
        <v>91</v>
      </c>
      <c r="E2999" s="495">
        <v>245000</v>
      </c>
      <c r="F2999" s="540">
        <f t="shared" ref="F2999:G2999" si="2365">E2999*1.1</f>
        <v>269500</v>
      </c>
      <c r="G2999" s="540">
        <f t="shared" si="2365"/>
        <v>296450</v>
      </c>
    </row>
    <row r="3000" spans="1:7" ht="30" outlineLevel="3">
      <c r="A3000" s="384"/>
      <c r="B3000" s="384"/>
      <c r="C3000" s="443">
        <v>2220100</v>
      </c>
      <c r="D3000" s="492" t="s">
        <v>61</v>
      </c>
      <c r="E3000" s="615">
        <f>E3001</f>
        <v>139200</v>
      </c>
      <c r="F3000" s="540">
        <f t="shared" ref="F3000:G3000" si="2366">E3000*1.1</f>
        <v>153120</v>
      </c>
      <c r="G3000" s="540">
        <f t="shared" si="2366"/>
        <v>168432</v>
      </c>
    </row>
    <row r="3001" spans="1:7" ht="15.75" outlineLevel="3">
      <c r="A3001" s="614"/>
      <c r="B3001" s="614"/>
      <c r="C3001" s="437">
        <v>2220101</v>
      </c>
      <c r="D3001" s="494" t="s">
        <v>225</v>
      </c>
      <c r="E3001" s="495">
        <f>69600*2</f>
        <v>139200</v>
      </c>
      <c r="F3001" s="540">
        <f t="shared" ref="F3001:G3001" si="2367">E3001*1.1</f>
        <v>153120</v>
      </c>
      <c r="G3001" s="540">
        <f t="shared" si="2367"/>
        <v>168432</v>
      </c>
    </row>
    <row r="3002" spans="1:7" ht="15.75" outlineLevel="3">
      <c r="A3002" s="384"/>
      <c r="B3002" s="384"/>
      <c r="C3002" s="443">
        <v>2220200</v>
      </c>
      <c r="D3002" s="492" t="s">
        <v>179</v>
      </c>
      <c r="E3002" s="615">
        <f>SUM(E3003)</f>
        <v>29000</v>
      </c>
      <c r="F3002" s="540">
        <f t="shared" ref="F3002:G3002" si="2368">E3002*1.1</f>
        <v>31900.000000000004</v>
      </c>
      <c r="G3002" s="540">
        <f t="shared" si="2368"/>
        <v>35090.000000000007</v>
      </c>
    </row>
    <row r="3003" spans="1:7" ht="15.75" outlineLevel="3">
      <c r="A3003" s="614"/>
      <c r="B3003" s="614"/>
      <c r="C3003" s="437">
        <v>2220210</v>
      </c>
      <c r="D3003" s="494" t="s">
        <v>181</v>
      </c>
      <c r="E3003" s="495">
        <v>29000</v>
      </c>
      <c r="F3003" s="540">
        <f t="shared" ref="F3003:G3003" si="2369">E3003*1.1</f>
        <v>31900.000000000004</v>
      </c>
      <c r="G3003" s="540">
        <f t="shared" si="2369"/>
        <v>35090.000000000007</v>
      </c>
    </row>
    <row r="3004" spans="1:7" ht="15.75" outlineLevel="2">
      <c r="A3004" s="621"/>
      <c r="B3004" s="621"/>
      <c r="C3004" s="438"/>
      <c r="D3004" s="490" t="s">
        <v>511</v>
      </c>
      <c r="E3004" s="432">
        <f>E2983+E2986+E2988+E2992+E2994+E2996+E2998+E3000+E3002</f>
        <v>1236600</v>
      </c>
      <c r="F3004" s="540">
        <f t="shared" ref="F3004:G3004" si="2370">E3004*1.1</f>
        <v>1360260</v>
      </c>
      <c r="G3004" s="540">
        <f t="shared" si="2370"/>
        <v>1496286.0000000002</v>
      </c>
    </row>
    <row r="3005" spans="1:7" ht="15.75" outlineLevel="2">
      <c r="A3005" s="614"/>
      <c r="B3005" s="614"/>
      <c r="C3005" s="437"/>
      <c r="D3005" s="494"/>
      <c r="E3005" s="495"/>
      <c r="F3005" s="540">
        <f t="shared" ref="F3005:G3005" si="2371">E3005*1.1</f>
        <v>0</v>
      </c>
      <c r="G3005" s="540">
        <f t="shared" si="2371"/>
        <v>0</v>
      </c>
    </row>
    <row r="3006" spans="1:7" ht="15.75" outlineLevel="2">
      <c r="A3006" s="614"/>
      <c r="B3006" s="614"/>
      <c r="C3006" s="437"/>
      <c r="D3006" s="492" t="s">
        <v>184</v>
      </c>
      <c r="E3006" s="495"/>
      <c r="F3006" s="540">
        <f t="shared" ref="F3006:G3006" si="2372">E3006*1.1</f>
        <v>0</v>
      </c>
      <c r="G3006" s="540">
        <f t="shared" si="2372"/>
        <v>0</v>
      </c>
    </row>
    <row r="3007" spans="1:7" ht="30" outlineLevel="3">
      <c r="A3007" s="614"/>
      <c r="B3007" s="614"/>
      <c r="C3007" s="437">
        <v>3110504</v>
      </c>
      <c r="D3007" s="494" t="s">
        <v>827</v>
      </c>
      <c r="E3007" s="495">
        <v>27770782</v>
      </c>
      <c r="F3007" s="540">
        <f t="shared" ref="F3007:G3007" si="2373">E3007*1.1</f>
        <v>30547860.200000003</v>
      </c>
      <c r="G3007" s="540">
        <f t="shared" si="2373"/>
        <v>33602646.220000006</v>
      </c>
    </row>
    <row r="3008" spans="1:7" ht="30" outlineLevel="3">
      <c r="A3008" s="614"/>
      <c r="B3008" s="614"/>
      <c r="C3008" s="437">
        <v>3110504</v>
      </c>
      <c r="D3008" s="494" t="s">
        <v>828</v>
      </c>
      <c r="E3008" s="495">
        <v>11605298</v>
      </c>
      <c r="F3008" s="540">
        <f t="shared" ref="F3008:G3008" si="2374">E3008*1.1</f>
        <v>12765827.800000001</v>
      </c>
      <c r="G3008" s="540">
        <f t="shared" si="2374"/>
        <v>14042410.580000002</v>
      </c>
    </row>
    <row r="3009" spans="1:7" ht="15.75" outlineLevel="2">
      <c r="A3009" s="621"/>
      <c r="B3009" s="621"/>
      <c r="C3009" s="438"/>
      <c r="D3009" s="490" t="s">
        <v>201</v>
      </c>
      <c r="E3009" s="432">
        <f>E3007+E3008</f>
        <v>39376080</v>
      </c>
      <c r="F3009" s="540">
        <f t="shared" ref="F3009:G3009" si="2375">E3009*1.1</f>
        <v>43313688</v>
      </c>
      <c r="G3009" s="540">
        <f t="shared" si="2375"/>
        <v>47645056.800000004</v>
      </c>
    </row>
    <row r="3010" spans="1:7" ht="30" outlineLevel="1">
      <c r="A3010" s="621"/>
      <c r="B3010" s="621"/>
      <c r="C3010" s="438"/>
      <c r="D3010" s="490" t="s">
        <v>829</v>
      </c>
      <c r="E3010" s="432">
        <f>E3009+E3004</f>
        <v>40612680</v>
      </c>
      <c r="F3010" s="540">
        <f t="shared" ref="F3010:G3010" si="2376">E3010*1.1</f>
        <v>44673948</v>
      </c>
      <c r="G3010" s="540">
        <f t="shared" si="2376"/>
        <v>49141342.800000004</v>
      </c>
    </row>
    <row r="3011" spans="1:7" ht="15.75" outlineLevel="1">
      <c r="A3011" s="621"/>
      <c r="B3011" s="621"/>
      <c r="C3011" s="438"/>
      <c r="D3011" s="317" t="s">
        <v>830</v>
      </c>
      <c r="E3011" s="432">
        <f>E2898+E2931+E2978+E3004</f>
        <v>59246747.519999981</v>
      </c>
      <c r="F3011" s="540">
        <f t="shared" ref="F3011:G3011" si="2377">E3011*1.1</f>
        <v>65171422.271999985</v>
      </c>
      <c r="G3011" s="540">
        <f t="shared" si="2377"/>
        <v>71688564.499199986</v>
      </c>
    </row>
    <row r="3012" spans="1:7" ht="15.75" outlineLevel="1">
      <c r="A3012" s="621"/>
      <c r="B3012" s="621"/>
      <c r="C3012" s="438"/>
      <c r="D3012" s="317" t="s">
        <v>831</v>
      </c>
      <c r="E3012" s="432">
        <f>E3009+E2939+E2902</f>
        <v>52776464</v>
      </c>
      <c r="F3012" s="540">
        <f t="shared" ref="F3012:G3012" si="2378">E3012*1.1</f>
        <v>58054110.400000006</v>
      </c>
      <c r="G3012" s="540">
        <f t="shared" si="2378"/>
        <v>63859521.440000013</v>
      </c>
    </row>
    <row r="3013" spans="1:7" ht="15.75" outlineLevel="1">
      <c r="A3013" s="630"/>
      <c r="B3013" s="630"/>
      <c r="C3013" s="441"/>
      <c r="D3013" s="317" t="s">
        <v>832</v>
      </c>
      <c r="E3013" s="432">
        <f>E3011+E3012</f>
        <v>112023211.51999998</v>
      </c>
      <c r="F3013" s="540">
        <f t="shared" ref="F3013:G3013" si="2379">E3013*1.1</f>
        <v>123225532.67199999</v>
      </c>
      <c r="G3013" s="540">
        <f t="shared" si="2379"/>
        <v>135548085.93920001</v>
      </c>
    </row>
    <row r="3014" spans="1:7" ht="15.75" outlineLevel="1">
      <c r="A3014" s="324"/>
      <c r="B3014" s="324"/>
      <c r="C3014" s="437"/>
      <c r="D3014" s="494"/>
      <c r="E3014" s="495"/>
      <c r="F3014" s="540">
        <f t="shared" ref="F3014:G3014" si="2380">E3014*1.1</f>
        <v>0</v>
      </c>
      <c r="G3014" s="540">
        <f t="shared" si="2380"/>
        <v>0</v>
      </c>
    </row>
    <row r="3015" spans="1:7" ht="15.75" outlineLevel="1">
      <c r="A3015" s="324"/>
      <c r="B3015" s="324"/>
      <c r="C3015" s="437"/>
      <c r="D3015" s="494"/>
      <c r="E3015" s="495"/>
      <c r="F3015" s="540">
        <f t="shared" ref="F3015:G3015" si="2381">E3015*1.1</f>
        <v>0</v>
      </c>
      <c r="G3015" s="540">
        <f t="shared" si="2381"/>
        <v>0</v>
      </c>
    </row>
    <row r="3016" spans="1:7" ht="15.75" outlineLevel="1">
      <c r="A3016" s="621"/>
      <c r="B3016" s="621" t="s">
        <v>361</v>
      </c>
      <c r="C3016" s="438" t="s">
        <v>833</v>
      </c>
      <c r="D3016" s="490"/>
      <c r="E3016" s="432"/>
      <c r="F3016" s="540">
        <f t="shared" ref="F3016:G3016" si="2382">E3016*1.1</f>
        <v>0</v>
      </c>
      <c r="G3016" s="540">
        <f t="shared" si="2382"/>
        <v>0</v>
      </c>
    </row>
    <row r="3017" spans="1:7" ht="15.75" outlineLevel="1">
      <c r="A3017" s="614" t="s">
        <v>233</v>
      </c>
      <c r="B3017" s="614"/>
      <c r="C3017" s="443" t="s">
        <v>834</v>
      </c>
      <c r="D3017" s="492"/>
      <c r="E3017" s="495"/>
      <c r="F3017" s="540">
        <f t="shared" ref="F3017:G3017" si="2383">E3017*1.1</f>
        <v>0</v>
      </c>
      <c r="G3017" s="540">
        <f t="shared" si="2383"/>
        <v>0</v>
      </c>
    </row>
    <row r="3018" spans="1:7" ht="15.75" outlineLevel="1">
      <c r="A3018" s="614"/>
      <c r="B3018" s="614" t="s">
        <v>98</v>
      </c>
      <c r="C3018" s="443" t="s">
        <v>835</v>
      </c>
      <c r="D3018" s="492"/>
      <c r="E3018" s="495"/>
      <c r="F3018" s="540">
        <f t="shared" ref="F3018:G3018" si="2384">E3018*1.1</f>
        <v>0</v>
      </c>
      <c r="G3018" s="540">
        <f t="shared" si="2384"/>
        <v>0</v>
      </c>
    </row>
    <row r="3019" spans="1:7" ht="15.75" outlineLevel="3">
      <c r="A3019" s="384"/>
      <c r="B3019" s="384"/>
      <c r="C3019" s="443">
        <v>2210200</v>
      </c>
      <c r="D3019" s="492" t="s">
        <v>19</v>
      </c>
      <c r="E3019" s="615">
        <f>SUM(E3020:E3021)</f>
        <v>122000</v>
      </c>
      <c r="F3019" s="540">
        <f t="shared" ref="F3019:G3019" si="2385">E3019*1.1</f>
        <v>134200</v>
      </c>
      <c r="G3019" s="540">
        <f t="shared" si="2385"/>
        <v>147620</v>
      </c>
    </row>
    <row r="3020" spans="1:7" ht="15.75" outlineLevel="3">
      <c r="A3020" s="614"/>
      <c r="B3020" s="614"/>
      <c r="C3020" s="437">
        <v>2210201</v>
      </c>
      <c r="D3020" s="494" t="s">
        <v>236</v>
      </c>
      <c r="E3020" s="495">
        <f>49000+43000+24520</f>
        <v>116520</v>
      </c>
      <c r="F3020" s="540">
        <f t="shared" ref="F3020:G3020" si="2386">E3020*1.1</f>
        <v>128172.00000000001</v>
      </c>
      <c r="G3020" s="540">
        <f t="shared" si="2386"/>
        <v>140989.20000000004</v>
      </c>
    </row>
    <row r="3021" spans="1:7" ht="15.75" outlineLevel="3">
      <c r="A3021" s="614"/>
      <c r="B3021" s="614"/>
      <c r="C3021" s="437">
        <v>2210202</v>
      </c>
      <c r="D3021" s="494" t="s">
        <v>21</v>
      </c>
      <c r="E3021" s="495">
        <f>30000-24520</f>
        <v>5480</v>
      </c>
      <c r="F3021" s="540">
        <f t="shared" ref="F3021:G3021" si="2387">E3021*1.1</f>
        <v>6028.0000000000009</v>
      </c>
      <c r="G3021" s="540">
        <f t="shared" si="2387"/>
        <v>6630.8000000000011</v>
      </c>
    </row>
    <row r="3022" spans="1:7" ht="30" outlineLevel="3">
      <c r="A3022" s="384"/>
      <c r="B3022" s="384"/>
      <c r="C3022" s="443">
        <v>2210300</v>
      </c>
      <c r="D3022" s="492" t="s">
        <v>23</v>
      </c>
      <c r="E3022" s="615">
        <f>SUM(E3023:E3025)</f>
        <v>286392.59999999998</v>
      </c>
      <c r="F3022" s="540">
        <f t="shared" ref="F3022:G3022" si="2388">E3022*1.1</f>
        <v>315031.86</v>
      </c>
      <c r="G3022" s="540">
        <f t="shared" si="2388"/>
        <v>346535.04600000003</v>
      </c>
    </row>
    <row r="3023" spans="1:7" ht="15.75" outlineLevel="3">
      <c r="A3023" s="614"/>
      <c r="B3023" s="614"/>
      <c r="C3023" s="437">
        <v>2210301</v>
      </c>
      <c r="D3023" s="494" t="s">
        <v>208</v>
      </c>
      <c r="E3023" s="495">
        <v>53000</v>
      </c>
      <c r="F3023" s="540">
        <f t="shared" ref="F3023:G3023" si="2389">E3023*1.1</f>
        <v>58300.000000000007</v>
      </c>
      <c r="G3023" s="540">
        <f t="shared" si="2389"/>
        <v>64130.000000000015</v>
      </c>
    </row>
    <row r="3024" spans="1:7" ht="15.75" outlineLevel="3">
      <c r="A3024" s="614"/>
      <c r="B3024" s="614"/>
      <c r="C3024" s="437">
        <v>2210302</v>
      </c>
      <c r="D3024" s="494" t="s">
        <v>25</v>
      </c>
      <c r="E3024" s="495">
        <v>120840</v>
      </c>
      <c r="F3024" s="540">
        <f t="shared" ref="F3024:G3024" si="2390">E3024*1.1</f>
        <v>132924</v>
      </c>
      <c r="G3024" s="540">
        <f t="shared" si="2390"/>
        <v>146216.40000000002</v>
      </c>
    </row>
    <row r="3025" spans="1:8" ht="15.75" outlineLevel="3">
      <c r="A3025" s="614"/>
      <c r="B3025" s="614"/>
      <c r="C3025" s="437">
        <v>2210303</v>
      </c>
      <c r="D3025" s="494" t="s">
        <v>259</v>
      </c>
      <c r="E3025" s="495">
        <v>112552.6</v>
      </c>
      <c r="F3025" s="540">
        <f t="shared" ref="F3025:G3025" si="2391">E3025*1.1</f>
        <v>123807.86000000002</v>
      </c>
      <c r="G3025" s="540">
        <f t="shared" si="2391"/>
        <v>136188.64600000004</v>
      </c>
    </row>
    <row r="3026" spans="1:8" ht="15.75" outlineLevel="3">
      <c r="A3026" s="384"/>
      <c r="B3026" s="384"/>
      <c r="C3026" s="443">
        <v>2210500</v>
      </c>
      <c r="D3026" s="492" t="s">
        <v>30</v>
      </c>
      <c r="E3026" s="615">
        <f>SUM(E3027:E3028)</f>
        <v>77000</v>
      </c>
      <c r="F3026" s="540">
        <f t="shared" ref="F3026:G3026" si="2392">E3026*1.1</f>
        <v>84700</v>
      </c>
      <c r="G3026" s="540">
        <f t="shared" si="2392"/>
        <v>93170.000000000015</v>
      </c>
    </row>
    <row r="3027" spans="1:8" ht="15.75" outlineLevel="3">
      <c r="A3027" s="614"/>
      <c r="B3027" s="614"/>
      <c r="C3027" s="437">
        <v>2210502</v>
      </c>
      <c r="D3027" s="494" t="s">
        <v>162</v>
      </c>
      <c r="E3027" s="495">
        <v>48000</v>
      </c>
      <c r="F3027" s="540">
        <f t="shared" ref="F3027:G3027" si="2393">E3027*1.1</f>
        <v>52800.000000000007</v>
      </c>
      <c r="G3027" s="540">
        <f t="shared" si="2393"/>
        <v>58080.000000000015</v>
      </c>
    </row>
    <row r="3028" spans="1:8" ht="15.75" outlineLevel="3">
      <c r="A3028" s="614"/>
      <c r="B3028" s="614"/>
      <c r="C3028" s="437">
        <v>2210503</v>
      </c>
      <c r="D3028" s="494" t="s">
        <v>31</v>
      </c>
      <c r="E3028" s="495">
        <v>29000</v>
      </c>
      <c r="F3028" s="540">
        <f t="shared" ref="F3028:G3028" si="2394">E3028*1.1</f>
        <v>31900.000000000004</v>
      </c>
      <c r="G3028" s="540">
        <f t="shared" si="2394"/>
        <v>35090.000000000007</v>
      </c>
    </row>
    <row r="3029" spans="1:8" ht="15.75" outlineLevel="3">
      <c r="A3029" s="384"/>
      <c r="B3029" s="384"/>
      <c r="C3029" s="443">
        <v>2210700</v>
      </c>
      <c r="D3029" s="492" t="s">
        <v>34</v>
      </c>
      <c r="E3029" s="615">
        <f>SUM(E3030:E3036)</f>
        <v>3130578.4</v>
      </c>
      <c r="F3029" s="540">
        <f t="shared" ref="F3029:G3029" si="2395">E3029*1.1</f>
        <v>3443636.24</v>
      </c>
      <c r="G3029" s="540">
        <f t="shared" si="2395"/>
        <v>3787999.8640000005</v>
      </c>
    </row>
    <row r="3030" spans="1:8" ht="15.75" outlineLevel="3">
      <c r="A3030" s="614"/>
      <c r="B3030" s="614"/>
      <c r="C3030" s="437">
        <v>2210701</v>
      </c>
      <c r="D3030" s="494" t="s">
        <v>35</v>
      </c>
      <c r="E3030" s="495">
        <v>100000</v>
      </c>
      <c r="F3030" s="540">
        <f t="shared" ref="F3030:G3030" si="2396">E3030*1.1</f>
        <v>110000.00000000001</v>
      </c>
      <c r="G3030" s="540">
        <f t="shared" si="2396"/>
        <v>121000.00000000003</v>
      </c>
    </row>
    <row r="3031" spans="1:8" ht="30" outlineLevel="3">
      <c r="A3031" s="614"/>
      <c r="B3031" s="614"/>
      <c r="C3031" s="437">
        <v>2210707</v>
      </c>
      <c r="D3031" s="494" t="s">
        <v>836</v>
      </c>
      <c r="E3031" s="495">
        <f>830841+0.4</f>
        <v>830841.4</v>
      </c>
      <c r="F3031" s="540">
        <f t="shared" ref="F3031:G3031" si="2397">E3031*1.1</f>
        <v>913925.54000000015</v>
      </c>
      <c r="G3031" s="540">
        <f t="shared" si="2397"/>
        <v>1005318.0940000003</v>
      </c>
    </row>
    <row r="3032" spans="1:8" ht="30" outlineLevel="3">
      <c r="A3032" s="614"/>
      <c r="B3032" s="614"/>
      <c r="C3032" s="437">
        <v>2210709</v>
      </c>
      <c r="D3032" s="494" t="s">
        <v>837</v>
      </c>
      <c r="E3032" s="495">
        <v>800200</v>
      </c>
      <c r="F3032" s="540">
        <f t="shared" ref="F3032:G3032" si="2398">E3032*1.1</f>
        <v>880220.00000000012</v>
      </c>
      <c r="G3032" s="540">
        <f t="shared" si="2398"/>
        <v>968242.00000000023</v>
      </c>
    </row>
    <row r="3033" spans="1:8" ht="15.75" outlineLevel="3">
      <c r="A3033" s="614"/>
      <c r="B3033" s="614"/>
      <c r="C3033" s="437">
        <v>2210710</v>
      </c>
      <c r="D3033" s="494" t="s">
        <v>38</v>
      </c>
      <c r="E3033" s="495">
        <v>179800</v>
      </c>
      <c r="F3033" s="540">
        <f t="shared" ref="F3033:G3033" si="2399">E3033*1.1</f>
        <v>197780.00000000003</v>
      </c>
      <c r="G3033" s="540">
        <f t="shared" si="2399"/>
        <v>217558.00000000006</v>
      </c>
    </row>
    <row r="3034" spans="1:8" ht="30" outlineLevel="3">
      <c r="A3034" s="614"/>
      <c r="B3034" s="614"/>
      <c r="C3034" s="437">
        <v>2210712</v>
      </c>
      <c r="D3034" s="494" t="s">
        <v>838</v>
      </c>
      <c r="E3034" s="495">
        <v>600110</v>
      </c>
      <c r="F3034" s="540">
        <f t="shared" ref="F3034:G3034" si="2400">E3034*1.1</f>
        <v>660121</v>
      </c>
      <c r="G3034" s="540">
        <f t="shared" si="2400"/>
        <v>726133.10000000009</v>
      </c>
    </row>
    <row r="3035" spans="1:8" ht="30" outlineLevel="3">
      <c r="A3035" s="614"/>
      <c r="B3035" s="614"/>
      <c r="C3035" s="437">
        <v>2210714</v>
      </c>
      <c r="D3035" s="494" t="s">
        <v>839</v>
      </c>
      <c r="E3035" s="495">
        <v>462420</v>
      </c>
      <c r="F3035" s="540">
        <f t="shared" ref="F3035:G3035" si="2401">E3035*1.1</f>
        <v>508662.00000000006</v>
      </c>
      <c r="G3035" s="540">
        <f t="shared" si="2401"/>
        <v>559528.20000000007</v>
      </c>
    </row>
    <row r="3036" spans="1:8" ht="15.75" outlineLevel="3">
      <c r="A3036" s="614"/>
      <c r="B3036" s="614"/>
      <c r="C3036" s="437">
        <v>2210715</v>
      </c>
      <c r="D3036" s="494" t="s">
        <v>39</v>
      </c>
      <c r="E3036" s="495">
        <v>157207</v>
      </c>
      <c r="F3036" s="540">
        <f t="shared" ref="F3036:G3036" si="2402">E3036*1.1</f>
        <v>172927.7</v>
      </c>
      <c r="G3036" s="540">
        <f t="shared" si="2402"/>
        <v>190220.47000000003</v>
      </c>
    </row>
    <row r="3037" spans="1:8" s="302" customFormat="1" ht="15.75" outlineLevel="3">
      <c r="A3037" s="384"/>
      <c r="B3037" s="384"/>
      <c r="C3037" s="443">
        <v>2210800</v>
      </c>
      <c r="D3037" s="492" t="s">
        <v>41</v>
      </c>
      <c r="E3037" s="615">
        <f>SUM(E3038:E3039)</f>
        <v>1491420</v>
      </c>
      <c r="F3037" s="540">
        <f t="shared" ref="F3037:G3037" si="2403">E3037*1.1</f>
        <v>1640562.0000000002</v>
      </c>
      <c r="G3037" s="540">
        <f t="shared" si="2403"/>
        <v>1804618.2000000004</v>
      </c>
      <c r="H3037" s="132"/>
    </row>
    <row r="3038" spans="1:8" s="303" customFormat="1" ht="30" outlineLevel="3">
      <c r="A3038" s="614"/>
      <c r="B3038" s="614"/>
      <c r="C3038" s="437">
        <v>2210801</v>
      </c>
      <c r="D3038" s="494" t="s">
        <v>240</v>
      </c>
      <c r="E3038" s="495">
        <v>120000</v>
      </c>
      <c r="F3038" s="540">
        <f t="shared" ref="F3038:G3038" si="2404">E3038*1.1</f>
        <v>132000</v>
      </c>
      <c r="G3038" s="540">
        <f t="shared" si="2404"/>
        <v>145200</v>
      </c>
      <c r="H3038" s="132"/>
    </row>
    <row r="3039" spans="1:8" s="302" customFormat="1" ht="30" outlineLevel="3">
      <c r="A3039" s="629"/>
      <c r="B3039" s="629"/>
      <c r="C3039" s="437">
        <v>2210805</v>
      </c>
      <c r="D3039" s="494" t="s">
        <v>840</v>
      </c>
      <c r="E3039" s="495">
        <f>1371420</f>
        <v>1371420</v>
      </c>
      <c r="F3039" s="540">
        <f t="shared" ref="F3039:G3039" si="2405">E3039*1.1</f>
        <v>1508562.0000000002</v>
      </c>
      <c r="G3039" s="540">
        <f t="shared" si="2405"/>
        <v>1659418.2000000004</v>
      </c>
      <c r="H3039" s="132"/>
    </row>
    <row r="3040" spans="1:8" s="302" customFormat="1" ht="15.75" outlineLevel="3">
      <c r="A3040" s="631"/>
      <c r="B3040" s="631"/>
      <c r="C3040" s="443">
        <v>2211100</v>
      </c>
      <c r="D3040" s="492" t="s">
        <v>49</v>
      </c>
      <c r="E3040" s="615">
        <f>SUM(E3041:E3041)</f>
        <v>77000</v>
      </c>
      <c r="F3040" s="540">
        <f t="shared" ref="F3040:G3040" si="2406">E3040*1.1</f>
        <v>84700</v>
      </c>
      <c r="G3040" s="540">
        <f t="shared" si="2406"/>
        <v>93170.000000000015</v>
      </c>
      <c r="H3040" s="132"/>
    </row>
    <row r="3041" spans="1:8" ht="30" outlineLevel="3">
      <c r="A3041" s="629"/>
      <c r="B3041" s="629"/>
      <c r="C3041" s="437">
        <v>2211101</v>
      </c>
      <c r="D3041" s="494" t="s">
        <v>50</v>
      </c>
      <c r="E3041" s="495">
        <v>77000</v>
      </c>
      <c r="F3041" s="540">
        <f t="shared" ref="F3041:G3041" si="2407">E3041*1.1</f>
        <v>84700</v>
      </c>
      <c r="G3041" s="540">
        <f t="shared" si="2407"/>
        <v>93170.000000000015</v>
      </c>
    </row>
    <row r="3042" spans="1:8" ht="15.75" outlineLevel="3">
      <c r="A3042" s="384"/>
      <c r="B3042" s="384"/>
      <c r="C3042" s="443">
        <v>2211200</v>
      </c>
      <c r="D3042" s="492" t="s">
        <v>53</v>
      </c>
      <c r="E3042" s="615">
        <f>SUM(E3043)</f>
        <v>198600</v>
      </c>
      <c r="F3042" s="540">
        <f t="shared" ref="F3042:G3042" si="2408">E3042*1.1</f>
        <v>218460.00000000003</v>
      </c>
      <c r="G3042" s="540">
        <f t="shared" si="2408"/>
        <v>240306.00000000006</v>
      </c>
    </row>
    <row r="3043" spans="1:8" ht="15.75" outlineLevel="3">
      <c r="A3043" s="614"/>
      <c r="B3043" s="614"/>
      <c r="C3043" s="437">
        <v>2211201</v>
      </c>
      <c r="D3043" s="494" t="s">
        <v>91</v>
      </c>
      <c r="E3043" s="495">
        <v>198600</v>
      </c>
      <c r="F3043" s="540">
        <f t="shared" ref="F3043:G3043" si="2409">E3043*1.1</f>
        <v>218460.00000000003</v>
      </c>
      <c r="G3043" s="540">
        <f t="shared" si="2409"/>
        <v>240306.00000000006</v>
      </c>
    </row>
    <row r="3044" spans="1:8" ht="15.75" outlineLevel="3">
      <c r="A3044" s="614"/>
      <c r="B3044" s="614"/>
      <c r="C3044" s="443">
        <v>2211300</v>
      </c>
      <c r="D3044" s="492" t="s">
        <v>55</v>
      </c>
      <c r="E3044" s="615">
        <f>E3045</f>
        <v>506200</v>
      </c>
      <c r="F3044" s="540">
        <f t="shared" ref="F3044:G3044" si="2410">E3044*1.1</f>
        <v>556820</v>
      </c>
      <c r="G3044" s="540">
        <f t="shared" si="2410"/>
        <v>612502</v>
      </c>
    </row>
    <row r="3045" spans="1:8" s="301" customFormat="1" ht="30" outlineLevel="3">
      <c r="A3045" s="384"/>
      <c r="B3045" s="384"/>
      <c r="C3045" s="437">
        <v>2211320</v>
      </c>
      <c r="D3045" s="494" t="s">
        <v>841</v>
      </c>
      <c r="E3045" s="495">
        <v>506200</v>
      </c>
      <c r="F3045" s="540">
        <f t="shared" ref="F3045:G3045" si="2411">E3045*1.1</f>
        <v>556820</v>
      </c>
      <c r="G3045" s="540">
        <f t="shared" si="2411"/>
        <v>612502</v>
      </c>
      <c r="H3045" s="132"/>
    </row>
    <row r="3046" spans="1:8" ht="30" outlineLevel="3">
      <c r="A3046" s="614"/>
      <c r="B3046" s="614"/>
      <c r="C3046" s="443">
        <v>2220100</v>
      </c>
      <c r="D3046" s="492" t="s">
        <v>61</v>
      </c>
      <c r="E3046" s="615">
        <f>SUM(E3047)</f>
        <v>98600</v>
      </c>
      <c r="F3046" s="540">
        <f t="shared" ref="F3046:G3046" si="2412">E3046*1.1</f>
        <v>108460.00000000001</v>
      </c>
      <c r="G3046" s="540">
        <f t="shared" si="2412"/>
        <v>119306.00000000003</v>
      </c>
    </row>
    <row r="3047" spans="1:8" ht="15.75" outlineLevel="3">
      <c r="A3047" s="384"/>
      <c r="B3047" s="384"/>
      <c r="C3047" s="437">
        <v>2220101</v>
      </c>
      <c r="D3047" s="494" t="s">
        <v>225</v>
      </c>
      <c r="E3047" s="495">
        <f>52200+46400</f>
        <v>98600</v>
      </c>
      <c r="F3047" s="540">
        <f t="shared" ref="F3047:G3047" si="2413">E3047*1.1</f>
        <v>108460.00000000001</v>
      </c>
      <c r="G3047" s="540">
        <f t="shared" si="2413"/>
        <v>119306.00000000003</v>
      </c>
    </row>
    <row r="3048" spans="1:8" ht="15.75" outlineLevel="3">
      <c r="A3048" s="614"/>
      <c r="B3048" s="614"/>
      <c r="C3048" s="443">
        <v>2220200</v>
      </c>
      <c r="D3048" s="492" t="s">
        <v>179</v>
      </c>
      <c r="E3048" s="615">
        <f>SUM(E3049:E3050)</f>
        <v>72400</v>
      </c>
      <c r="F3048" s="540">
        <f t="shared" ref="F3048:G3048" si="2414">E3048*1.1</f>
        <v>79640</v>
      </c>
      <c r="G3048" s="540">
        <f t="shared" si="2414"/>
        <v>87604</v>
      </c>
    </row>
    <row r="3049" spans="1:8" ht="15.75" outlineLevel="3">
      <c r="A3049" s="384"/>
      <c r="B3049" s="384"/>
      <c r="C3049" s="437">
        <v>2220205</v>
      </c>
      <c r="D3049" s="494" t="s">
        <v>180</v>
      </c>
      <c r="E3049" s="495">
        <v>46000</v>
      </c>
      <c r="F3049" s="540">
        <f t="shared" ref="F3049:G3049" si="2415">E3049*1.1</f>
        <v>50600.000000000007</v>
      </c>
      <c r="G3049" s="540">
        <f t="shared" si="2415"/>
        <v>55660.000000000015</v>
      </c>
    </row>
    <row r="3050" spans="1:8" ht="15.75" outlineLevel="3">
      <c r="A3050" s="614"/>
      <c r="B3050" s="614"/>
      <c r="C3050" s="437">
        <v>2220210</v>
      </c>
      <c r="D3050" s="494" t="s">
        <v>181</v>
      </c>
      <c r="E3050" s="495">
        <v>26400</v>
      </c>
      <c r="F3050" s="540">
        <f t="shared" ref="F3050:G3050" si="2416">E3050*1.1</f>
        <v>29040.000000000004</v>
      </c>
      <c r="G3050" s="540">
        <f t="shared" si="2416"/>
        <v>31944.000000000007</v>
      </c>
    </row>
    <row r="3051" spans="1:8" ht="15.75" outlineLevel="3">
      <c r="A3051" s="384"/>
      <c r="B3051" s="384"/>
      <c r="C3051" s="443">
        <v>3111000</v>
      </c>
      <c r="D3051" s="492" t="s">
        <v>65</v>
      </c>
      <c r="E3051" s="615">
        <f>SUM(E3052:E3053)</f>
        <v>91000</v>
      </c>
      <c r="F3051" s="540">
        <f t="shared" ref="F3051:G3051" si="2417">E3051*1.1</f>
        <v>100100.00000000001</v>
      </c>
      <c r="G3051" s="540">
        <f t="shared" si="2417"/>
        <v>110110.00000000003</v>
      </c>
    </row>
    <row r="3052" spans="1:8" ht="15.75" outlineLevel="3">
      <c r="A3052" s="614"/>
      <c r="B3052" s="614"/>
      <c r="C3052" s="437">
        <v>3111001</v>
      </c>
      <c r="D3052" s="494" t="s">
        <v>65</v>
      </c>
      <c r="E3052" s="495">
        <f>67000-43000</f>
        <v>24000</v>
      </c>
      <c r="F3052" s="540">
        <f t="shared" ref="F3052:G3052" si="2418">E3052*1.1</f>
        <v>26400.000000000004</v>
      </c>
      <c r="G3052" s="540">
        <f t="shared" si="2418"/>
        <v>29040.000000000007</v>
      </c>
    </row>
    <row r="3053" spans="1:8" ht="15.75" outlineLevel="3">
      <c r="A3053" s="614"/>
      <c r="B3053" s="614"/>
      <c r="C3053" s="437">
        <v>3111002</v>
      </c>
      <c r="D3053" s="494" t="s">
        <v>67</v>
      </c>
      <c r="E3053" s="495">
        <f>67000</f>
        <v>67000</v>
      </c>
      <c r="F3053" s="540">
        <f t="shared" ref="F3053:G3053" si="2419">E3053*1.1</f>
        <v>73700</v>
      </c>
      <c r="G3053" s="540">
        <f t="shared" si="2419"/>
        <v>81070</v>
      </c>
    </row>
    <row r="3054" spans="1:8" ht="30" outlineLevel="3">
      <c r="A3054" s="384"/>
      <c r="B3054" s="384"/>
      <c r="C3054" s="443">
        <v>3111400</v>
      </c>
      <c r="D3054" s="492" t="s">
        <v>805</v>
      </c>
      <c r="E3054" s="615">
        <f>E3055</f>
        <v>554900</v>
      </c>
      <c r="F3054" s="540">
        <f t="shared" ref="F3054:G3054" si="2420">E3054*1.1</f>
        <v>610390</v>
      </c>
      <c r="G3054" s="540">
        <f t="shared" si="2420"/>
        <v>671429</v>
      </c>
    </row>
    <row r="3055" spans="1:8" ht="30" outlineLevel="3">
      <c r="A3055" s="629"/>
      <c r="B3055" s="629"/>
      <c r="C3055" s="437">
        <v>3111401</v>
      </c>
      <c r="D3055" s="494" t="s">
        <v>842</v>
      </c>
      <c r="E3055" s="495">
        <v>554900</v>
      </c>
      <c r="F3055" s="540">
        <f t="shared" ref="F3055:G3055" si="2421">E3055*1.1</f>
        <v>610390</v>
      </c>
      <c r="G3055" s="540">
        <f t="shared" si="2421"/>
        <v>671429</v>
      </c>
    </row>
    <row r="3056" spans="1:8" ht="15.75" outlineLevel="2">
      <c r="A3056" s="621"/>
      <c r="B3056" s="621"/>
      <c r="C3056" s="438"/>
      <c r="D3056" s="490" t="s">
        <v>101</v>
      </c>
      <c r="E3056" s="432">
        <f>E3019+E3022+E3026+E3029+E3037+E3040+E3042+E3044+E3046+E3048+E3051+E3054</f>
        <v>6706091</v>
      </c>
      <c r="F3056" s="540">
        <f t="shared" ref="F3056:G3056" si="2422">E3056*1.1</f>
        <v>7376700.1000000006</v>
      </c>
      <c r="G3056" s="540">
        <f t="shared" si="2422"/>
        <v>8114370.1100000013</v>
      </c>
    </row>
    <row r="3057" spans="1:8" ht="15.75" outlineLevel="2">
      <c r="A3057" s="384"/>
      <c r="B3057" s="384"/>
      <c r="C3057" s="443"/>
      <c r="D3057" s="492"/>
      <c r="E3057" s="615"/>
      <c r="F3057" s="540">
        <f t="shared" ref="F3057:G3057" si="2423">E3057*1.1</f>
        <v>0</v>
      </c>
      <c r="G3057" s="540">
        <f t="shared" si="2423"/>
        <v>0</v>
      </c>
    </row>
    <row r="3058" spans="1:8" ht="15.75" outlineLevel="2">
      <c r="A3058" s="384"/>
      <c r="B3058" s="384"/>
      <c r="C3058" s="443" t="s">
        <v>184</v>
      </c>
      <c r="D3058" s="492"/>
      <c r="E3058" s="615"/>
      <c r="F3058" s="540">
        <f t="shared" ref="F3058:G3058" si="2424">E3058*1.1</f>
        <v>0</v>
      </c>
      <c r="G3058" s="540">
        <f t="shared" si="2424"/>
        <v>0</v>
      </c>
    </row>
    <row r="3059" spans="1:8" ht="30" outlineLevel="2">
      <c r="A3059" s="384"/>
      <c r="B3059" s="384"/>
      <c r="C3059" s="437">
        <v>3110504</v>
      </c>
      <c r="D3059" s="494" t="s">
        <v>843</v>
      </c>
      <c r="E3059" s="495">
        <v>5112016</v>
      </c>
      <c r="F3059" s="540">
        <f t="shared" ref="F3059:G3059" si="2425">E3059*1.1</f>
        <v>5623217.6000000006</v>
      </c>
      <c r="G3059" s="540">
        <f t="shared" si="2425"/>
        <v>6185539.3600000013</v>
      </c>
    </row>
    <row r="3060" spans="1:8" ht="15.75" outlineLevel="2">
      <c r="A3060" s="621"/>
      <c r="B3060" s="621"/>
      <c r="C3060" s="438"/>
      <c r="D3060" s="490" t="s">
        <v>201</v>
      </c>
      <c r="E3060" s="432">
        <f>E3059</f>
        <v>5112016</v>
      </c>
      <c r="F3060" s="540">
        <f t="shared" ref="F3060:G3060" si="2426">E3060*1.1</f>
        <v>5623217.6000000006</v>
      </c>
      <c r="G3060" s="540">
        <f t="shared" si="2426"/>
        <v>6185539.3600000013</v>
      </c>
    </row>
    <row r="3061" spans="1:8" ht="15.75" outlineLevel="1">
      <c r="A3061" s="621"/>
      <c r="B3061" s="621"/>
      <c r="C3061" s="438"/>
      <c r="D3061" s="490" t="s">
        <v>844</v>
      </c>
      <c r="E3061" s="432">
        <f>E3060+E3056</f>
        <v>11818107</v>
      </c>
      <c r="F3061" s="540">
        <f t="shared" ref="F3061:G3061" si="2427">E3061*1.1</f>
        <v>12999917.700000001</v>
      </c>
      <c r="G3061" s="540">
        <f t="shared" si="2427"/>
        <v>14299909.470000003</v>
      </c>
    </row>
    <row r="3062" spans="1:8" ht="15.75" outlineLevel="1">
      <c r="A3062" s="614"/>
      <c r="B3062" s="614"/>
      <c r="C3062" s="437"/>
      <c r="D3062" s="494"/>
      <c r="E3062" s="495"/>
      <c r="F3062" s="540">
        <f t="shared" ref="F3062:G3062" si="2428">E3062*1.1</f>
        <v>0</v>
      </c>
      <c r="G3062" s="540">
        <f t="shared" si="2428"/>
        <v>0</v>
      </c>
    </row>
    <row r="3063" spans="1:8" ht="15.75" outlineLevel="1">
      <c r="A3063" s="614"/>
      <c r="B3063" s="614"/>
      <c r="C3063" s="443" t="s">
        <v>845</v>
      </c>
      <c r="D3063" s="492"/>
      <c r="E3063" s="495"/>
      <c r="F3063" s="540">
        <f t="shared" ref="F3063:G3063" si="2429">E3063*1.1</f>
        <v>0</v>
      </c>
      <c r="G3063" s="540">
        <f t="shared" si="2429"/>
        <v>0</v>
      </c>
    </row>
    <row r="3064" spans="1:8" ht="15.75" outlineLevel="1">
      <c r="A3064" s="614" t="s">
        <v>233</v>
      </c>
      <c r="B3064" s="614" t="s">
        <v>98</v>
      </c>
      <c r="C3064" s="443" t="s">
        <v>846</v>
      </c>
      <c r="D3064" s="492"/>
      <c r="E3064" s="495"/>
      <c r="F3064" s="540">
        <f t="shared" ref="F3064:G3064" si="2430">E3064*1.1</f>
        <v>0</v>
      </c>
      <c r="G3064" s="540">
        <f t="shared" si="2430"/>
        <v>0</v>
      </c>
    </row>
    <row r="3065" spans="1:8" ht="15.75" outlineLevel="3">
      <c r="A3065" s="384"/>
      <c r="B3065" s="384"/>
      <c r="C3065" s="443">
        <v>2210200</v>
      </c>
      <c r="D3065" s="492" t="s">
        <v>19</v>
      </c>
      <c r="E3065" s="615">
        <f>SUM(E3066:E3067)</f>
        <v>191600</v>
      </c>
      <c r="F3065" s="540">
        <f t="shared" ref="F3065:G3065" si="2431">E3065*1.1</f>
        <v>210760.00000000003</v>
      </c>
      <c r="G3065" s="540">
        <f t="shared" si="2431"/>
        <v>231836.00000000006</v>
      </c>
    </row>
    <row r="3066" spans="1:8" ht="15.75" outlineLevel="3">
      <c r="A3066" s="614"/>
      <c r="B3066" s="614"/>
      <c r="C3066" s="437">
        <v>2210201</v>
      </c>
      <c r="D3066" s="494" t="s">
        <v>236</v>
      </c>
      <c r="E3066" s="495">
        <f>40600+110000+20000+10000</f>
        <v>180600</v>
      </c>
      <c r="F3066" s="540">
        <f t="shared" ref="F3066:G3066" si="2432">E3066*1.1</f>
        <v>198660.00000000003</v>
      </c>
      <c r="G3066" s="540">
        <f t="shared" si="2432"/>
        <v>218526.00000000006</v>
      </c>
    </row>
    <row r="3067" spans="1:8" ht="15.75" outlineLevel="3">
      <c r="A3067" s="600"/>
      <c r="B3067" s="600"/>
      <c r="C3067" s="582">
        <v>2210202</v>
      </c>
      <c r="D3067" s="583" t="s">
        <v>21</v>
      </c>
      <c r="E3067" s="506">
        <v>11000</v>
      </c>
      <c r="F3067" s="540">
        <f t="shared" ref="F3067:G3067" si="2433">E3067*1.1</f>
        <v>12100.000000000002</v>
      </c>
      <c r="G3067" s="540">
        <f t="shared" si="2433"/>
        <v>13310.000000000004</v>
      </c>
    </row>
    <row r="3068" spans="1:8" ht="30" outlineLevel="3">
      <c r="A3068" s="384"/>
      <c r="B3068" s="384"/>
      <c r="C3068" s="443">
        <v>2210300</v>
      </c>
      <c r="D3068" s="492" t="s">
        <v>23</v>
      </c>
      <c r="E3068" s="615">
        <f>SUM(E3069:E3071)</f>
        <v>493000</v>
      </c>
      <c r="F3068" s="540">
        <f t="shared" ref="F3068:G3068" si="2434">E3068*1.1</f>
        <v>542300</v>
      </c>
      <c r="G3068" s="540">
        <f t="shared" si="2434"/>
        <v>596530</v>
      </c>
    </row>
    <row r="3069" spans="1:8" ht="15.75" outlineLevel="3">
      <c r="A3069" s="614"/>
      <c r="B3069" s="614"/>
      <c r="C3069" s="437">
        <v>2210301</v>
      </c>
      <c r="D3069" s="494" t="s">
        <v>208</v>
      </c>
      <c r="E3069" s="495">
        <f>245000-30000-40000</f>
        <v>175000</v>
      </c>
      <c r="F3069" s="540">
        <f t="shared" ref="F3069:G3069" si="2435">E3069*1.1</f>
        <v>192500.00000000003</v>
      </c>
      <c r="G3069" s="540">
        <f t="shared" si="2435"/>
        <v>211750.00000000006</v>
      </c>
    </row>
    <row r="3070" spans="1:8" ht="15.75" outlineLevel="3">
      <c r="A3070" s="614"/>
      <c r="B3070" s="614"/>
      <c r="C3070" s="437">
        <v>2210302</v>
      </c>
      <c r="D3070" s="494" t="s">
        <v>25</v>
      </c>
      <c r="E3070" s="495">
        <f>203000-30000</f>
        <v>173000</v>
      </c>
      <c r="F3070" s="540">
        <f t="shared" ref="F3070:G3070" si="2436">E3070*1.1</f>
        <v>190300.00000000003</v>
      </c>
      <c r="G3070" s="540">
        <f t="shared" si="2436"/>
        <v>209330.00000000006</v>
      </c>
    </row>
    <row r="3071" spans="1:8" s="302" customFormat="1" ht="15.75" outlineLevel="3">
      <c r="A3071" s="614"/>
      <c r="B3071" s="614"/>
      <c r="C3071" s="437">
        <v>2210303</v>
      </c>
      <c r="D3071" s="494" t="s">
        <v>259</v>
      </c>
      <c r="E3071" s="495">
        <f>145000</f>
        <v>145000</v>
      </c>
      <c r="F3071" s="540">
        <f t="shared" ref="F3071:G3071" si="2437">E3071*1.1</f>
        <v>159500</v>
      </c>
      <c r="G3071" s="540">
        <f t="shared" si="2437"/>
        <v>175450</v>
      </c>
      <c r="H3071" s="132"/>
    </row>
    <row r="3072" spans="1:8" ht="15.75" outlineLevel="3">
      <c r="A3072" s="384"/>
      <c r="B3072" s="384"/>
      <c r="C3072" s="443">
        <v>2210500</v>
      </c>
      <c r="D3072" s="492" t="s">
        <v>30</v>
      </c>
      <c r="E3072" s="615">
        <f>SUM(E3073:E3075)</f>
        <v>1438460</v>
      </c>
      <c r="F3072" s="540">
        <f t="shared" ref="F3072:G3072" si="2438">E3072*1.1</f>
        <v>1582306.0000000002</v>
      </c>
      <c r="G3072" s="540">
        <f t="shared" si="2438"/>
        <v>1740536.6000000003</v>
      </c>
    </row>
    <row r="3073" spans="1:8" ht="15.75" outlineLevel="3">
      <c r="A3073" s="614"/>
      <c r="B3073" s="614"/>
      <c r="C3073" s="437">
        <v>2210503</v>
      </c>
      <c r="D3073" s="494" t="s">
        <v>31</v>
      </c>
      <c r="E3073" s="495">
        <v>59000</v>
      </c>
      <c r="F3073" s="540">
        <f t="shared" ref="F3073:G3073" si="2439">E3073*1.1</f>
        <v>64900.000000000007</v>
      </c>
      <c r="G3073" s="540">
        <f t="shared" si="2439"/>
        <v>71390.000000000015</v>
      </c>
    </row>
    <row r="3074" spans="1:8" s="302" customFormat="1" ht="15.75" outlineLevel="3">
      <c r="A3074" s="629"/>
      <c r="B3074" s="629"/>
      <c r="C3074" s="437">
        <v>2210504</v>
      </c>
      <c r="D3074" s="494" t="s">
        <v>212</v>
      </c>
      <c r="E3074" s="495">
        <f>290000-81100-100000</f>
        <v>108900</v>
      </c>
      <c r="F3074" s="540">
        <f t="shared" ref="F3074:G3074" si="2440">E3074*1.1</f>
        <v>119790.00000000001</v>
      </c>
      <c r="G3074" s="540">
        <f t="shared" si="2440"/>
        <v>131769.00000000003</v>
      </c>
      <c r="H3074" s="132"/>
    </row>
    <row r="3075" spans="1:8" s="302" customFormat="1" ht="30" outlineLevel="3">
      <c r="A3075" s="629"/>
      <c r="B3075" s="629"/>
      <c r="C3075" s="437">
        <v>2210505</v>
      </c>
      <c r="D3075" s="494" t="s">
        <v>847</v>
      </c>
      <c r="E3075" s="495">
        <f>965360-150000+455200</f>
        <v>1270560</v>
      </c>
      <c r="F3075" s="540">
        <f t="shared" ref="F3075:G3075" si="2441">E3075*1.1</f>
        <v>1397616</v>
      </c>
      <c r="G3075" s="540">
        <f t="shared" si="2441"/>
        <v>1537377.6</v>
      </c>
      <c r="H3075" s="132"/>
    </row>
    <row r="3076" spans="1:8" ht="15.75" outlineLevel="3">
      <c r="A3076" s="384"/>
      <c r="B3076" s="384"/>
      <c r="C3076" s="443">
        <v>2210700</v>
      </c>
      <c r="D3076" s="492" t="s">
        <v>34</v>
      </c>
      <c r="E3076" s="615">
        <f>E3077+E3078</f>
        <v>1847450</v>
      </c>
      <c r="F3076" s="540">
        <f t="shared" ref="F3076:G3076" si="2442">E3076*1.1</f>
        <v>2032195.0000000002</v>
      </c>
      <c r="G3076" s="540">
        <f t="shared" si="2442"/>
        <v>2235414.5000000005</v>
      </c>
    </row>
    <row r="3077" spans="1:8" ht="15.75" outlineLevel="3">
      <c r="A3077" s="629"/>
      <c r="B3077" s="629"/>
      <c r="C3077" s="437">
        <v>2210705</v>
      </c>
      <c r="D3077" s="494" t="s">
        <v>848</v>
      </c>
      <c r="E3077" s="495">
        <f>250000-100000</f>
        <v>150000</v>
      </c>
      <c r="F3077" s="540">
        <f t="shared" ref="F3077:G3077" si="2443">E3077*1.1</f>
        <v>165000</v>
      </c>
      <c r="G3077" s="540">
        <f t="shared" si="2443"/>
        <v>181500.00000000003</v>
      </c>
    </row>
    <row r="3078" spans="1:8" ht="30" outlineLevel="3">
      <c r="A3078" s="629"/>
      <c r="B3078" s="629"/>
      <c r="C3078" s="437">
        <v>2210707</v>
      </c>
      <c r="D3078" s="494" t="s">
        <v>849</v>
      </c>
      <c r="E3078" s="495">
        <v>1697450</v>
      </c>
      <c r="F3078" s="540">
        <f t="shared" ref="F3078:G3078" si="2444">E3078*1.1</f>
        <v>1867195.0000000002</v>
      </c>
      <c r="G3078" s="540">
        <f t="shared" si="2444"/>
        <v>2053914.5000000005</v>
      </c>
    </row>
    <row r="3079" spans="1:8" ht="15.75" outlineLevel="3">
      <c r="A3079" s="384"/>
      <c r="B3079" s="384"/>
      <c r="C3079" s="443">
        <v>2210800</v>
      </c>
      <c r="D3079" s="492" t="s">
        <v>41</v>
      </c>
      <c r="E3079" s="615">
        <f>SUM(E3080:E3081)</f>
        <v>139200</v>
      </c>
      <c r="F3079" s="540">
        <f t="shared" ref="F3079:G3079" si="2445">E3079*1.1</f>
        <v>153120</v>
      </c>
      <c r="G3079" s="540">
        <f t="shared" si="2445"/>
        <v>168432</v>
      </c>
    </row>
    <row r="3080" spans="1:8" ht="30" outlineLevel="3">
      <c r="A3080" s="614"/>
      <c r="B3080" s="614"/>
      <c r="C3080" s="437">
        <v>2210801</v>
      </c>
      <c r="D3080" s="494" t="s">
        <v>240</v>
      </c>
      <c r="E3080" s="495">
        <f>269600-200000</f>
        <v>69600</v>
      </c>
      <c r="F3080" s="540">
        <f t="shared" ref="F3080:G3080" si="2446">E3080*1.1</f>
        <v>76560</v>
      </c>
      <c r="G3080" s="540">
        <f t="shared" si="2446"/>
        <v>84216</v>
      </c>
    </row>
    <row r="3081" spans="1:8" ht="15.75" outlineLevel="3">
      <c r="A3081" s="614"/>
      <c r="B3081" s="614"/>
      <c r="C3081" s="437">
        <v>2210802</v>
      </c>
      <c r="D3081" s="494" t="s">
        <v>86</v>
      </c>
      <c r="E3081" s="495">
        <v>69600</v>
      </c>
      <c r="F3081" s="540">
        <f t="shared" ref="F3081:G3081" si="2447">E3081*1.1</f>
        <v>76560</v>
      </c>
      <c r="G3081" s="540">
        <f t="shared" si="2447"/>
        <v>84216</v>
      </c>
    </row>
    <row r="3082" spans="1:8" ht="15.75" outlineLevel="3">
      <c r="A3082" s="384"/>
      <c r="B3082" s="384"/>
      <c r="C3082" s="443">
        <v>2211100</v>
      </c>
      <c r="D3082" s="492" t="s">
        <v>49</v>
      </c>
      <c r="E3082" s="615">
        <f>SUM(E3083:E3084)</f>
        <v>63800</v>
      </c>
      <c r="F3082" s="540">
        <f t="shared" ref="F3082:G3082" si="2448">E3082*1.1</f>
        <v>70180</v>
      </c>
      <c r="G3082" s="540">
        <f t="shared" si="2448"/>
        <v>77198</v>
      </c>
    </row>
    <row r="3083" spans="1:8" ht="30" outlineLevel="3">
      <c r="A3083" s="614"/>
      <c r="B3083" s="614"/>
      <c r="C3083" s="437">
        <v>2211101</v>
      </c>
      <c r="D3083" s="494" t="s">
        <v>50</v>
      </c>
      <c r="E3083" s="495">
        <v>34800</v>
      </c>
      <c r="F3083" s="540">
        <f t="shared" ref="F3083:G3083" si="2449">E3083*1.1</f>
        <v>38280</v>
      </c>
      <c r="G3083" s="540">
        <f t="shared" si="2449"/>
        <v>42108</v>
      </c>
    </row>
    <row r="3084" spans="1:8" ht="15.75" outlineLevel="3">
      <c r="A3084" s="614"/>
      <c r="B3084" s="614"/>
      <c r="C3084" s="437">
        <v>2211102</v>
      </c>
      <c r="D3084" s="494" t="s">
        <v>51</v>
      </c>
      <c r="E3084" s="495">
        <v>29000</v>
      </c>
      <c r="F3084" s="540">
        <f t="shared" ref="F3084:G3084" si="2450">E3084*1.1</f>
        <v>31900.000000000004</v>
      </c>
      <c r="G3084" s="540">
        <f t="shared" si="2450"/>
        <v>35090.000000000007</v>
      </c>
    </row>
    <row r="3085" spans="1:8" s="301" customFormat="1" ht="15.75" outlineLevel="3">
      <c r="A3085" s="384"/>
      <c r="B3085" s="384"/>
      <c r="C3085" s="443">
        <v>2211200</v>
      </c>
      <c r="D3085" s="492" t="s">
        <v>53</v>
      </c>
      <c r="E3085" s="615">
        <f>SUM(E3086)</f>
        <v>153600</v>
      </c>
      <c r="F3085" s="540">
        <f t="shared" ref="F3085:G3085" si="2451">E3085*1.1</f>
        <v>168960</v>
      </c>
      <c r="G3085" s="540">
        <f t="shared" si="2451"/>
        <v>185856.00000000003</v>
      </c>
      <c r="H3085" s="132"/>
    </row>
    <row r="3086" spans="1:8" s="302" customFormat="1" ht="15.75" outlineLevel="3">
      <c r="A3086" s="614"/>
      <c r="B3086" s="614"/>
      <c r="C3086" s="437">
        <v>2211201</v>
      </c>
      <c r="D3086" s="494" t="s">
        <v>91</v>
      </c>
      <c r="E3086" s="495">
        <f>285600-100000-50000+18000</f>
        <v>153600</v>
      </c>
      <c r="F3086" s="540">
        <f t="shared" ref="F3086:G3086" si="2452">E3086*1.1</f>
        <v>168960</v>
      </c>
      <c r="G3086" s="540">
        <f t="shared" si="2452"/>
        <v>185856.00000000003</v>
      </c>
      <c r="H3086" s="132"/>
    </row>
    <row r="3087" spans="1:8" ht="15.75" outlineLevel="3">
      <c r="A3087" s="384"/>
      <c r="B3087" s="384"/>
      <c r="C3087" s="443">
        <v>2211300</v>
      </c>
      <c r="D3087" s="492" t="s">
        <v>55</v>
      </c>
      <c r="E3087" s="615">
        <f>E3088</f>
        <v>877600</v>
      </c>
      <c r="F3087" s="540">
        <f t="shared" ref="F3087:G3087" si="2453">E3087*1.1</f>
        <v>965360.00000000012</v>
      </c>
      <c r="G3087" s="540">
        <f t="shared" si="2453"/>
        <v>1061896.0000000002</v>
      </c>
    </row>
    <row r="3088" spans="1:8" ht="30" outlineLevel="3">
      <c r="A3088" s="629"/>
      <c r="B3088" s="629"/>
      <c r="C3088" s="437">
        <v>2211399</v>
      </c>
      <c r="D3088" s="494" t="s">
        <v>850</v>
      </c>
      <c r="E3088" s="495">
        <f>1877600-200000-800000</f>
        <v>877600</v>
      </c>
      <c r="F3088" s="540">
        <f t="shared" ref="F3088:G3088" si="2454">E3088*1.1</f>
        <v>965360.00000000012</v>
      </c>
      <c r="G3088" s="540">
        <f t="shared" si="2454"/>
        <v>1061896.0000000002</v>
      </c>
    </row>
    <row r="3089" spans="1:8" ht="30" outlineLevel="3">
      <c r="A3089" s="384"/>
      <c r="B3089" s="384"/>
      <c r="C3089" s="443">
        <v>2220100</v>
      </c>
      <c r="D3089" s="492" t="s">
        <v>61</v>
      </c>
      <c r="E3089" s="615">
        <f>SUM(E3090)</f>
        <v>28300</v>
      </c>
      <c r="F3089" s="540">
        <f t="shared" ref="F3089:G3089" si="2455">E3089*1.1</f>
        <v>31130.000000000004</v>
      </c>
      <c r="G3089" s="540">
        <f t="shared" si="2455"/>
        <v>34243.000000000007</v>
      </c>
    </row>
    <row r="3090" spans="1:8" ht="15.75" outlineLevel="3">
      <c r="A3090" s="614"/>
      <c r="B3090" s="614"/>
      <c r="C3090" s="437">
        <v>2220101</v>
      </c>
      <c r="D3090" s="494" t="s">
        <v>225</v>
      </c>
      <c r="E3090" s="495">
        <f>78300-50000</f>
        <v>28300</v>
      </c>
      <c r="F3090" s="540">
        <f t="shared" ref="F3090:G3090" si="2456">E3090*1.1</f>
        <v>31130.000000000004</v>
      </c>
      <c r="G3090" s="540">
        <f t="shared" si="2456"/>
        <v>34243.000000000007</v>
      </c>
    </row>
    <row r="3091" spans="1:8" ht="15.75" outlineLevel="3">
      <c r="A3091" s="384"/>
      <c r="B3091" s="384"/>
      <c r="C3091" s="443">
        <v>2220200</v>
      </c>
      <c r="D3091" s="492" t="s">
        <v>179</v>
      </c>
      <c r="E3091" s="615">
        <f>SUM(E3092:E3093)</f>
        <v>12600</v>
      </c>
      <c r="F3091" s="540">
        <f t="shared" ref="F3091:G3091" si="2457">E3091*1.1</f>
        <v>13860.000000000002</v>
      </c>
      <c r="G3091" s="540">
        <f t="shared" si="2457"/>
        <v>15246.000000000004</v>
      </c>
    </row>
    <row r="3092" spans="1:8" ht="15.75" outlineLevel="3">
      <c r="A3092" s="614"/>
      <c r="B3092" s="614"/>
      <c r="C3092" s="437">
        <v>2220202</v>
      </c>
      <c r="D3092" s="494" t="s">
        <v>63</v>
      </c>
      <c r="E3092" s="495">
        <v>11000</v>
      </c>
      <c r="F3092" s="540">
        <f t="shared" ref="F3092:G3092" si="2458">E3092*1.1</f>
        <v>12100.000000000002</v>
      </c>
      <c r="G3092" s="540">
        <f t="shared" si="2458"/>
        <v>13310.000000000004</v>
      </c>
    </row>
    <row r="3093" spans="1:8" s="302" customFormat="1" ht="15.75" outlineLevel="3">
      <c r="A3093" s="614"/>
      <c r="B3093" s="614"/>
      <c r="C3093" s="437">
        <v>2220210</v>
      </c>
      <c r="D3093" s="494" t="s">
        <v>181</v>
      </c>
      <c r="E3093" s="495">
        <v>1600</v>
      </c>
      <c r="F3093" s="540">
        <f t="shared" ref="F3093:G3093" si="2459">E3093*1.1</f>
        <v>1760.0000000000002</v>
      </c>
      <c r="G3093" s="540">
        <f t="shared" si="2459"/>
        <v>1936.0000000000005</v>
      </c>
      <c r="H3093" s="132"/>
    </row>
    <row r="3094" spans="1:8" ht="30" outlineLevel="3">
      <c r="A3094" s="384"/>
      <c r="B3094" s="384"/>
      <c r="C3094" s="443">
        <v>3111400</v>
      </c>
      <c r="D3094" s="492" t="s">
        <v>805</v>
      </c>
      <c r="E3094" s="615">
        <f>E3095</f>
        <v>338625</v>
      </c>
      <c r="F3094" s="540">
        <f t="shared" ref="F3094:G3094" si="2460">E3094*1.1</f>
        <v>372487.50000000006</v>
      </c>
      <c r="G3094" s="540">
        <f t="shared" si="2460"/>
        <v>409736.25000000012</v>
      </c>
    </row>
    <row r="3095" spans="1:8" ht="30" outlineLevel="3">
      <c r="A3095" s="629"/>
      <c r="B3095" s="629"/>
      <c r="C3095" s="437">
        <v>3111401</v>
      </c>
      <c r="D3095" s="494" t="s">
        <v>851</v>
      </c>
      <c r="E3095" s="495">
        <f>588625-250000</f>
        <v>338625</v>
      </c>
      <c r="F3095" s="540">
        <f t="shared" ref="F3095:G3095" si="2461">E3095*1.1</f>
        <v>372487.50000000006</v>
      </c>
      <c r="G3095" s="540">
        <f t="shared" si="2461"/>
        <v>409736.25000000012</v>
      </c>
    </row>
    <row r="3096" spans="1:8" ht="15.75" outlineLevel="2">
      <c r="A3096" s="621"/>
      <c r="B3096" s="621"/>
      <c r="C3096" s="438"/>
      <c r="D3096" s="490" t="s">
        <v>824</v>
      </c>
      <c r="E3096" s="432">
        <f>E3094+E3091+E3089+E3085+E3082+E3079+E3068+E3065+E3076+E3072+E3087</f>
        <v>5584235</v>
      </c>
      <c r="F3096" s="540">
        <f t="shared" ref="F3096:G3096" si="2462">E3096*1.1</f>
        <v>6142658.5000000009</v>
      </c>
      <c r="G3096" s="540">
        <f t="shared" si="2462"/>
        <v>6756924.3500000015</v>
      </c>
    </row>
    <row r="3097" spans="1:8" s="302" customFormat="1" ht="15.75" outlineLevel="2">
      <c r="A3097" s="614"/>
      <c r="B3097" s="614"/>
      <c r="C3097" s="437"/>
      <c r="D3097" s="494"/>
      <c r="E3097" s="495"/>
      <c r="F3097" s="540">
        <f t="shared" ref="F3097:G3097" si="2463">E3097*1.1</f>
        <v>0</v>
      </c>
      <c r="G3097" s="540">
        <f t="shared" si="2463"/>
        <v>0</v>
      </c>
      <c r="H3097" s="132"/>
    </row>
    <row r="3098" spans="1:8" s="302" customFormat="1" ht="15.75" outlineLevel="2">
      <c r="A3098" s="614"/>
      <c r="B3098" s="614"/>
      <c r="C3098" s="437"/>
      <c r="D3098" s="492" t="s">
        <v>608</v>
      </c>
      <c r="E3098" s="495"/>
      <c r="F3098" s="540">
        <f t="shared" ref="F3098:G3098" si="2464">E3098*1.1</f>
        <v>0</v>
      </c>
      <c r="G3098" s="540">
        <f t="shared" si="2464"/>
        <v>0</v>
      </c>
      <c r="H3098" s="132"/>
    </row>
    <row r="3099" spans="1:8" ht="30" outlineLevel="3">
      <c r="A3099" s="614"/>
      <c r="B3099" s="614"/>
      <c r="C3099" s="437">
        <v>3110301</v>
      </c>
      <c r="D3099" s="494" t="s">
        <v>852</v>
      </c>
      <c r="E3099" s="495">
        <v>711600</v>
      </c>
      <c r="F3099" s="540">
        <f t="shared" ref="F3099:G3099" si="2465">E3099*1.1</f>
        <v>782760.00000000012</v>
      </c>
      <c r="G3099" s="540">
        <f t="shared" si="2465"/>
        <v>861036.00000000023</v>
      </c>
    </row>
    <row r="3100" spans="1:8" ht="30" outlineLevel="3">
      <c r="A3100" s="614"/>
      <c r="B3100" s="614"/>
      <c r="C3100" s="437">
        <v>3110301</v>
      </c>
      <c r="D3100" s="494" t="s">
        <v>853</v>
      </c>
      <c r="E3100" s="495">
        <f>1485638+432000</f>
        <v>1917638</v>
      </c>
      <c r="F3100" s="540">
        <f t="shared" ref="F3100:G3100" si="2466">E3100*1.1</f>
        <v>2109401.8000000003</v>
      </c>
      <c r="G3100" s="540">
        <f t="shared" si="2466"/>
        <v>2320341.9800000004</v>
      </c>
    </row>
    <row r="3101" spans="1:8" s="302" customFormat="1" ht="15.75" outlineLevel="3">
      <c r="A3101" s="629"/>
      <c r="B3101" s="629"/>
      <c r="C3101" s="437">
        <v>3110504</v>
      </c>
      <c r="D3101" s="494" t="s">
        <v>854</v>
      </c>
      <c r="E3101" s="495">
        <v>3200000</v>
      </c>
      <c r="F3101" s="540">
        <f t="shared" ref="F3101:G3101" si="2467">E3101*1.1</f>
        <v>3520000.0000000005</v>
      </c>
      <c r="G3101" s="540">
        <f t="shared" si="2467"/>
        <v>3872000.0000000009</v>
      </c>
      <c r="H3101" s="132"/>
    </row>
    <row r="3102" spans="1:8" s="302" customFormat="1" ht="30" outlineLevel="3">
      <c r="A3102" s="629"/>
      <c r="B3102" s="629"/>
      <c r="C3102" s="437">
        <v>3110599</v>
      </c>
      <c r="D3102" s="494" t="s">
        <v>855</v>
      </c>
      <c r="E3102" s="495">
        <f>2329684-432000</f>
        <v>1897684</v>
      </c>
      <c r="F3102" s="540">
        <f t="shared" ref="F3102:G3102" si="2468">E3102*1.1</f>
        <v>2087452.4000000001</v>
      </c>
      <c r="G3102" s="540">
        <f t="shared" si="2468"/>
        <v>2296197.64</v>
      </c>
      <c r="H3102" s="132"/>
    </row>
    <row r="3103" spans="1:8" s="302" customFormat="1" ht="30" outlineLevel="3">
      <c r="A3103" s="629"/>
      <c r="B3103" s="629"/>
      <c r="C3103" s="437">
        <v>3111001</v>
      </c>
      <c r="D3103" s="494" t="s">
        <v>856</v>
      </c>
      <c r="E3103" s="495">
        <v>2580962</v>
      </c>
      <c r="F3103" s="540">
        <f t="shared" ref="F3103:G3103" si="2469">E3103*1.1</f>
        <v>2839058.2</v>
      </c>
      <c r="G3103" s="540">
        <f t="shared" si="2469"/>
        <v>3122964.0200000005</v>
      </c>
      <c r="H3103" s="132"/>
    </row>
    <row r="3104" spans="1:8" ht="15.75" outlineLevel="2">
      <c r="A3104" s="621"/>
      <c r="B3104" s="621"/>
      <c r="C3104" s="438"/>
      <c r="D3104" s="490" t="s">
        <v>857</v>
      </c>
      <c r="E3104" s="432">
        <f>E3101+E3102+E3099+E3103+E3100</f>
        <v>10307884</v>
      </c>
      <c r="F3104" s="540">
        <f t="shared" ref="F3104:G3104" si="2470">E3104*1.1</f>
        <v>11338672.4</v>
      </c>
      <c r="G3104" s="540">
        <f t="shared" si="2470"/>
        <v>12472539.640000001</v>
      </c>
    </row>
    <row r="3105" spans="1:7" ht="15.75" outlineLevel="1">
      <c r="A3105" s="621"/>
      <c r="B3105" s="621"/>
      <c r="C3105" s="438"/>
      <c r="D3105" s="490" t="s">
        <v>858</v>
      </c>
      <c r="E3105" s="432">
        <f>E3104+E3096</f>
        <v>15892119</v>
      </c>
      <c r="F3105" s="540">
        <f t="shared" ref="F3105:G3105" si="2471">E3105*1.1</f>
        <v>17481330.900000002</v>
      </c>
      <c r="G3105" s="540">
        <f t="shared" si="2471"/>
        <v>19229463.990000006</v>
      </c>
    </row>
    <row r="3106" spans="1:7" ht="15.75" outlineLevel="1">
      <c r="A3106" s="614"/>
      <c r="B3106" s="614"/>
      <c r="C3106" s="437"/>
      <c r="D3106" s="494"/>
      <c r="E3106" s="495"/>
      <c r="F3106" s="540">
        <f t="shared" ref="F3106:G3106" si="2472">E3106*1.1</f>
        <v>0</v>
      </c>
      <c r="G3106" s="540">
        <f t="shared" si="2472"/>
        <v>0</v>
      </c>
    </row>
    <row r="3107" spans="1:7" ht="15.75" outlineLevel="1">
      <c r="A3107" s="614"/>
      <c r="B3107" s="614"/>
      <c r="C3107" s="437"/>
      <c r="D3107" s="494"/>
      <c r="E3107" s="495"/>
      <c r="F3107" s="540">
        <f t="shared" ref="F3107:G3107" si="2473">E3107*1.1</f>
        <v>0</v>
      </c>
      <c r="G3107" s="540">
        <f t="shared" si="2473"/>
        <v>0</v>
      </c>
    </row>
    <row r="3108" spans="1:7" ht="15.75" outlineLevel="1">
      <c r="A3108" s="632" t="s">
        <v>233</v>
      </c>
      <c r="B3108" s="632"/>
      <c r="C3108" s="438" t="s">
        <v>859</v>
      </c>
      <c r="D3108" s="490"/>
      <c r="E3108" s="633"/>
      <c r="F3108" s="540">
        <f t="shared" ref="F3108:G3108" si="2474">E3108*1.1</f>
        <v>0</v>
      </c>
      <c r="G3108" s="540">
        <f t="shared" si="2474"/>
        <v>0</v>
      </c>
    </row>
    <row r="3109" spans="1:7" ht="15.75" outlineLevel="1">
      <c r="A3109" s="614"/>
      <c r="B3109" s="614" t="s">
        <v>98</v>
      </c>
      <c r="C3109" s="443" t="s">
        <v>860</v>
      </c>
      <c r="D3109" s="492"/>
      <c r="E3109" s="495"/>
      <c r="F3109" s="540">
        <f t="shared" ref="F3109:G3109" si="2475">E3109*1.1</f>
        <v>0</v>
      </c>
      <c r="G3109" s="540">
        <f t="shared" si="2475"/>
        <v>0</v>
      </c>
    </row>
    <row r="3110" spans="1:7" ht="15.75" outlineLevel="2">
      <c r="A3110" s="384"/>
      <c r="B3110" s="384"/>
      <c r="C3110" s="443">
        <v>2210200</v>
      </c>
      <c r="D3110" s="492" t="s">
        <v>19</v>
      </c>
      <c r="E3110" s="615">
        <f>SUM(E3111:E3112)</f>
        <v>58000</v>
      </c>
      <c r="F3110" s="540">
        <f t="shared" ref="F3110:G3110" si="2476">E3110*1.1</f>
        <v>63800.000000000007</v>
      </c>
      <c r="G3110" s="540">
        <f t="shared" si="2476"/>
        <v>70180.000000000015</v>
      </c>
    </row>
    <row r="3111" spans="1:7" ht="15.75" outlineLevel="2">
      <c r="A3111" s="614"/>
      <c r="B3111" s="614"/>
      <c r="C3111" s="437">
        <v>2210201</v>
      </c>
      <c r="D3111" s="494" t="s">
        <v>236</v>
      </c>
      <c r="E3111" s="495">
        <f>29000+19000</f>
        <v>48000</v>
      </c>
      <c r="F3111" s="540">
        <f t="shared" ref="F3111:G3111" si="2477">E3111*1.1</f>
        <v>52800.000000000007</v>
      </c>
      <c r="G3111" s="540">
        <f t="shared" si="2477"/>
        <v>58080.000000000015</v>
      </c>
    </row>
    <row r="3112" spans="1:7" ht="15.75" outlineLevel="2">
      <c r="A3112" s="614"/>
      <c r="B3112" s="614"/>
      <c r="C3112" s="437">
        <v>2210202</v>
      </c>
      <c r="D3112" s="494" t="s">
        <v>21</v>
      </c>
      <c r="E3112" s="495">
        <v>10000</v>
      </c>
      <c r="F3112" s="540">
        <f t="shared" ref="F3112:G3112" si="2478">E3112*1.1</f>
        <v>11000</v>
      </c>
      <c r="G3112" s="540">
        <f t="shared" si="2478"/>
        <v>12100.000000000002</v>
      </c>
    </row>
    <row r="3113" spans="1:7" ht="30" outlineLevel="2">
      <c r="A3113" s="384"/>
      <c r="B3113" s="384"/>
      <c r="C3113" s="443">
        <v>2210300</v>
      </c>
      <c r="D3113" s="492" t="s">
        <v>23</v>
      </c>
      <c r="E3113" s="615">
        <f>SUM(E3114:E3116)</f>
        <v>564800</v>
      </c>
      <c r="F3113" s="540">
        <f t="shared" ref="F3113:G3113" si="2479">E3113*1.1</f>
        <v>621280</v>
      </c>
      <c r="G3113" s="540">
        <f t="shared" si="2479"/>
        <v>683408</v>
      </c>
    </row>
    <row r="3114" spans="1:7" ht="15.75" outlineLevel="2">
      <c r="A3114" s="384"/>
      <c r="B3114" s="384"/>
      <c r="C3114" s="437">
        <v>2210301</v>
      </c>
      <c r="D3114" s="494" t="s">
        <v>208</v>
      </c>
      <c r="E3114" s="495">
        <f>187000+50000</f>
        <v>237000</v>
      </c>
      <c r="F3114" s="540">
        <f t="shared" ref="F3114:G3114" si="2480">E3114*1.1</f>
        <v>260700.00000000003</v>
      </c>
      <c r="G3114" s="540">
        <f t="shared" si="2480"/>
        <v>286770.00000000006</v>
      </c>
    </row>
    <row r="3115" spans="1:7" ht="15.75" outlineLevel="2">
      <c r="A3115" s="384"/>
      <c r="B3115" s="384"/>
      <c r="C3115" s="437">
        <v>2210302</v>
      </c>
      <c r="D3115" s="494" t="s">
        <v>25</v>
      </c>
      <c r="E3115" s="495">
        <f>98600+50000</f>
        <v>148600</v>
      </c>
      <c r="F3115" s="540">
        <f t="shared" ref="F3115:G3115" si="2481">E3115*1.1</f>
        <v>163460</v>
      </c>
      <c r="G3115" s="540">
        <f t="shared" si="2481"/>
        <v>179806</v>
      </c>
    </row>
    <row r="3116" spans="1:7" ht="15.75" outlineLevel="2">
      <c r="A3116" s="384"/>
      <c r="B3116" s="384"/>
      <c r="C3116" s="437">
        <v>2210303</v>
      </c>
      <c r="D3116" s="494" t="s">
        <v>259</v>
      </c>
      <c r="E3116" s="495">
        <f>79200+100000</f>
        <v>179200</v>
      </c>
      <c r="F3116" s="540">
        <f t="shared" ref="F3116:G3116" si="2482">E3116*1.1</f>
        <v>197120.00000000003</v>
      </c>
      <c r="G3116" s="540">
        <f t="shared" si="2482"/>
        <v>216832.00000000006</v>
      </c>
    </row>
    <row r="3117" spans="1:7" ht="15.75" outlineLevel="2">
      <c r="A3117" s="384"/>
      <c r="B3117" s="384"/>
      <c r="C3117" s="443">
        <v>2210500</v>
      </c>
      <c r="D3117" s="492" t="s">
        <v>30</v>
      </c>
      <c r="E3117" s="615">
        <f>SUM(E3118:E3121)</f>
        <v>19225808</v>
      </c>
      <c r="F3117" s="540">
        <f t="shared" ref="F3117:G3117" si="2483">E3117*1.1</f>
        <v>21148388.800000001</v>
      </c>
      <c r="G3117" s="540">
        <f t="shared" si="2483"/>
        <v>23263227.680000003</v>
      </c>
    </row>
    <row r="3118" spans="1:7" ht="15.75" outlineLevel="2">
      <c r="A3118" s="384"/>
      <c r="B3118" s="384"/>
      <c r="C3118" s="437">
        <v>2210502</v>
      </c>
      <c r="D3118" s="494" t="s">
        <v>162</v>
      </c>
      <c r="E3118" s="495">
        <v>36400</v>
      </c>
      <c r="F3118" s="540">
        <f t="shared" ref="F3118:G3118" si="2484">E3118*1.1</f>
        <v>40040</v>
      </c>
      <c r="G3118" s="540">
        <f t="shared" si="2484"/>
        <v>44044</v>
      </c>
    </row>
    <row r="3119" spans="1:7" ht="15.75" outlineLevel="2">
      <c r="A3119" s="384"/>
      <c r="B3119" s="384"/>
      <c r="C3119" s="437">
        <v>2210503</v>
      </c>
      <c r="D3119" s="494" t="s">
        <v>31</v>
      </c>
      <c r="E3119" s="495">
        <v>29000</v>
      </c>
      <c r="F3119" s="540">
        <f t="shared" ref="F3119:G3119" si="2485">E3119*1.1</f>
        <v>31900.000000000004</v>
      </c>
      <c r="G3119" s="540">
        <f t="shared" si="2485"/>
        <v>35090.000000000007</v>
      </c>
    </row>
    <row r="3120" spans="1:7" ht="30" outlineLevel="2">
      <c r="A3120" s="600"/>
      <c r="B3120" s="600"/>
      <c r="C3120" s="582">
        <v>2210504</v>
      </c>
      <c r="D3120" s="707" t="s">
        <v>861</v>
      </c>
      <c r="E3120" s="506">
        <v>18702408</v>
      </c>
      <c r="F3120" s="540">
        <f t="shared" ref="F3120:G3120" si="2486">E3120*1.1</f>
        <v>20572648.800000001</v>
      </c>
      <c r="G3120" s="540">
        <f t="shared" si="2486"/>
        <v>22629913.680000003</v>
      </c>
    </row>
    <row r="3121" spans="1:8" s="302" customFormat="1" ht="15.75" outlineLevel="2">
      <c r="A3121" s="629"/>
      <c r="B3121" s="629"/>
      <c r="C3121" s="437">
        <v>2210505</v>
      </c>
      <c r="D3121" s="494" t="s">
        <v>213</v>
      </c>
      <c r="E3121" s="506">
        <v>458000</v>
      </c>
      <c r="F3121" s="540">
        <f t="shared" ref="F3121:G3121" si="2487">E3121*1.1</f>
        <v>503800.00000000006</v>
      </c>
      <c r="G3121" s="540">
        <f t="shared" si="2487"/>
        <v>554180.00000000012</v>
      </c>
      <c r="H3121" s="132"/>
    </row>
    <row r="3122" spans="1:8" ht="15.75" outlineLevel="2">
      <c r="A3122" s="384"/>
      <c r="B3122" s="384"/>
      <c r="C3122" s="443">
        <v>2210700</v>
      </c>
      <c r="D3122" s="492" t="s">
        <v>34</v>
      </c>
      <c r="E3122" s="615">
        <f>E3123</f>
        <v>1511030</v>
      </c>
      <c r="F3122" s="540">
        <f t="shared" ref="F3122:G3122" si="2488">E3122*1.1</f>
        <v>1662133.0000000002</v>
      </c>
      <c r="G3122" s="540">
        <f t="shared" si="2488"/>
        <v>1828346.3000000005</v>
      </c>
    </row>
    <row r="3123" spans="1:8" ht="15.75" outlineLevel="2">
      <c r="A3123" s="384"/>
      <c r="B3123" s="384"/>
      <c r="C3123" s="582">
        <v>2210799</v>
      </c>
      <c r="D3123" s="634" t="s">
        <v>862</v>
      </c>
      <c r="E3123" s="495">
        <f>2211030-700000</f>
        <v>1511030</v>
      </c>
      <c r="F3123" s="540">
        <f t="shared" ref="F3123:G3123" si="2489">E3123*1.1</f>
        <v>1662133.0000000002</v>
      </c>
      <c r="G3123" s="540">
        <f t="shared" si="2489"/>
        <v>1828346.3000000005</v>
      </c>
    </row>
    <row r="3124" spans="1:8" ht="15.75" outlineLevel="2">
      <c r="A3124" s="384"/>
      <c r="B3124" s="384"/>
      <c r="C3124" s="443">
        <v>2210800</v>
      </c>
      <c r="D3124" s="492" t="s">
        <v>41</v>
      </c>
      <c r="E3124" s="615">
        <f>SUM(E3125:E3127)</f>
        <v>1596162</v>
      </c>
      <c r="F3124" s="540">
        <f t="shared" ref="F3124:G3124" si="2490">E3124*1.1</f>
        <v>1755778.2000000002</v>
      </c>
      <c r="G3124" s="540">
        <f t="shared" si="2490"/>
        <v>1931356.0200000003</v>
      </c>
    </row>
    <row r="3125" spans="1:8" ht="30" outlineLevel="2">
      <c r="A3125" s="384"/>
      <c r="B3125" s="384"/>
      <c r="C3125" s="437">
        <v>2210801</v>
      </c>
      <c r="D3125" s="494" t="s">
        <v>240</v>
      </c>
      <c r="E3125" s="495">
        <f>58000+100000</f>
        <v>158000</v>
      </c>
      <c r="F3125" s="540">
        <f t="shared" ref="F3125:G3125" si="2491">E3125*1.1</f>
        <v>173800</v>
      </c>
      <c r="G3125" s="540">
        <f t="shared" si="2491"/>
        <v>191180.00000000003</v>
      </c>
    </row>
    <row r="3126" spans="1:8" ht="15.75" outlineLevel="2">
      <c r="A3126" s="384"/>
      <c r="B3126" s="384"/>
      <c r="C3126" s="437">
        <v>2210802</v>
      </c>
      <c r="D3126" s="494" t="s">
        <v>86</v>
      </c>
      <c r="E3126" s="495">
        <f>69600+50000</f>
        <v>119600</v>
      </c>
      <c r="F3126" s="540">
        <f t="shared" ref="F3126:G3126" si="2492">E3126*1.1</f>
        <v>131560</v>
      </c>
      <c r="G3126" s="540">
        <f t="shared" si="2492"/>
        <v>144716</v>
      </c>
    </row>
    <row r="3127" spans="1:8" ht="15.75" outlineLevel="2">
      <c r="A3127" s="384"/>
      <c r="B3127" s="384"/>
      <c r="C3127" s="437">
        <v>2210805</v>
      </c>
      <c r="D3127" s="494" t="s">
        <v>863</v>
      </c>
      <c r="E3127" s="495">
        <f>2618562-1300000</f>
        <v>1318562</v>
      </c>
      <c r="F3127" s="540">
        <f t="shared" ref="F3127:G3127" si="2493">E3127*1.1</f>
        <v>1450418.2000000002</v>
      </c>
      <c r="G3127" s="540">
        <f t="shared" si="2493"/>
        <v>1595460.0200000003</v>
      </c>
    </row>
    <row r="3128" spans="1:8" ht="15.75" outlineLevel="2">
      <c r="A3128" s="614"/>
      <c r="B3128" s="614"/>
      <c r="C3128" s="443">
        <v>2211100</v>
      </c>
      <c r="D3128" s="492" t="s">
        <v>49</v>
      </c>
      <c r="E3128" s="615">
        <f>SUM(E3129:E3130)</f>
        <v>166750</v>
      </c>
      <c r="F3128" s="540">
        <f t="shared" ref="F3128:G3128" si="2494">E3128*1.1</f>
        <v>183425.00000000003</v>
      </c>
      <c r="G3128" s="540">
        <f t="shared" si="2494"/>
        <v>201767.50000000006</v>
      </c>
    </row>
    <row r="3129" spans="1:8" ht="30" outlineLevel="2">
      <c r="A3129" s="384"/>
      <c r="B3129" s="384"/>
      <c r="C3129" s="437">
        <v>2211101</v>
      </c>
      <c r="D3129" s="494" t="s">
        <v>50</v>
      </c>
      <c r="E3129" s="495">
        <v>87000</v>
      </c>
      <c r="F3129" s="540">
        <f t="shared" ref="F3129:G3129" si="2495">E3129*1.1</f>
        <v>95700.000000000015</v>
      </c>
      <c r="G3129" s="540">
        <f t="shared" si="2495"/>
        <v>105270.00000000003</v>
      </c>
    </row>
    <row r="3130" spans="1:8" ht="15.75" outlineLevel="2">
      <c r="A3130" s="614"/>
      <c r="B3130" s="614"/>
      <c r="C3130" s="437">
        <v>2211103</v>
      </c>
      <c r="D3130" s="494" t="s">
        <v>52</v>
      </c>
      <c r="E3130" s="495">
        <f>87000-7250</f>
        <v>79750</v>
      </c>
      <c r="F3130" s="540">
        <f t="shared" ref="F3130:G3130" si="2496">E3130*1.1</f>
        <v>87725</v>
      </c>
      <c r="G3130" s="540">
        <f t="shared" si="2496"/>
        <v>96497.500000000015</v>
      </c>
    </row>
    <row r="3131" spans="1:8" ht="15.75" outlineLevel="2">
      <c r="A3131" s="614"/>
      <c r="B3131" s="614"/>
      <c r="C3131" s="443">
        <v>2211200</v>
      </c>
      <c r="D3131" s="492" t="s">
        <v>53</v>
      </c>
      <c r="E3131" s="615">
        <f>SUM(E3132)</f>
        <v>155000</v>
      </c>
      <c r="F3131" s="540">
        <f t="shared" ref="F3131:G3131" si="2497">E3131*1.1</f>
        <v>170500</v>
      </c>
      <c r="G3131" s="540">
        <f t="shared" si="2497"/>
        <v>187550.00000000003</v>
      </c>
    </row>
    <row r="3132" spans="1:8" ht="15.75" outlineLevel="2">
      <c r="A3132" s="384"/>
      <c r="B3132" s="384"/>
      <c r="C3132" s="437">
        <v>2211201</v>
      </c>
      <c r="D3132" s="494" t="s">
        <v>91</v>
      </c>
      <c r="E3132" s="495">
        <f>281200+100000-226200</f>
        <v>155000</v>
      </c>
      <c r="F3132" s="540">
        <f t="shared" ref="F3132:G3132" si="2498">E3132*1.1</f>
        <v>170500</v>
      </c>
      <c r="G3132" s="540">
        <f t="shared" si="2498"/>
        <v>187550.00000000003</v>
      </c>
    </row>
    <row r="3133" spans="1:8" ht="15.75" outlineLevel="2">
      <c r="A3133" s="384"/>
      <c r="B3133" s="384"/>
      <c r="C3133" s="443">
        <v>2211300</v>
      </c>
      <c r="D3133" s="492" t="s">
        <v>55</v>
      </c>
      <c r="E3133" s="615">
        <f>SUM(E3134:E3134)</f>
        <v>8212600</v>
      </c>
      <c r="F3133" s="540">
        <f t="shared" ref="F3133:G3133" si="2499">E3133*1.1</f>
        <v>9033860</v>
      </c>
      <c r="G3133" s="540">
        <f t="shared" si="2499"/>
        <v>9937246</v>
      </c>
    </row>
    <row r="3134" spans="1:8" ht="15.75" outlineLevel="2">
      <c r="A3134" s="614"/>
      <c r="B3134" s="614"/>
      <c r="C3134" s="437">
        <v>2211399</v>
      </c>
      <c r="D3134" s="494" t="s">
        <v>864</v>
      </c>
      <c r="E3134" s="495">
        <v>8212600</v>
      </c>
      <c r="F3134" s="540">
        <f t="shared" ref="F3134:G3134" si="2500">E3134*1.1</f>
        <v>9033860</v>
      </c>
      <c r="G3134" s="540">
        <f t="shared" si="2500"/>
        <v>9937246</v>
      </c>
    </row>
    <row r="3135" spans="1:8" ht="15.75" outlineLevel="3">
      <c r="A3135" s="600"/>
      <c r="B3135" s="600"/>
      <c r="C3135" s="591">
        <v>3111000</v>
      </c>
      <c r="D3135" s="623" t="s">
        <v>65</v>
      </c>
      <c r="E3135" s="507">
        <f>E3136</f>
        <v>157250</v>
      </c>
      <c r="F3135" s="540">
        <f t="shared" ref="F3135:G3135" si="2501">E3135*1.1</f>
        <v>172975</v>
      </c>
      <c r="G3135" s="540">
        <f t="shared" si="2501"/>
        <v>190272.50000000003</v>
      </c>
    </row>
    <row r="3136" spans="1:8" ht="15.75" outlineLevel="3">
      <c r="A3136" s="600"/>
      <c r="B3136" s="600"/>
      <c r="C3136" s="582">
        <v>3111002</v>
      </c>
      <c r="D3136" s="616" t="s">
        <v>67</v>
      </c>
      <c r="E3136" s="506">
        <v>157250</v>
      </c>
      <c r="F3136" s="540">
        <f t="shared" ref="F3136:G3136" si="2502">E3136*1.1</f>
        <v>172975</v>
      </c>
      <c r="G3136" s="540">
        <f t="shared" si="2502"/>
        <v>190272.50000000003</v>
      </c>
    </row>
    <row r="3137" spans="1:8" ht="15.75" outlineLevel="1">
      <c r="A3137" s="621"/>
      <c r="B3137" s="621"/>
      <c r="C3137" s="438" t="s">
        <v>101</v>
      </c>
      <c r="D3137" s="490"/>
      <c r="E3137" s="432">
        <f>E3110+E3113+E3117+E3122+E3124+E3133+E3128+E3131+E3135</f>
        <v>31647400</v>
      </c>
      <c r="F3137" s="540">
        <f t="shared" ref="F3137:G3137" si="2503">E3137*1.1</f>
        <v>34812140</v>
      </c>
      <c r="G3137" s="540">
        <f t="shared" si="2503"/>
        <v>38293354</v>
      </c>
    </row>
    <row r="3138" spans="1:8" ht="15.75" outlineLevel="1">
      <c r="A3138" s="621"/>
      <c r="B3138" s="621"/>
      <c r="C3138" s="438"/>
      <c r="D3138" s="490" t="s">
        <v>865</v>
      </c>
      <c r="E3138" s="432">
        <f>E3137</f>
        <v>31647400</v>
      </c>
      <c r="F3138" s="540">
        <f t="shared" ref="F3138:G3138" si="2504">E3138*1.1</f>
        <v>34812140</v>
      </c>
      <c r="G3138" s="540">
        <f t="shared" si="2504"/>
        <v>38293354</v>
      </c>
    </row>
    <row r="3139" spans="1:8" ht="15.75" outlineLevel="1">
      <c r="A3139" s="614"/>
      <c r="B3139" s="614"/>
      <c r="C3139" s="437"/>
      <c r="D3139" s="494"/>
      <c r="E3139" s="495"/>
      <c r="F3139" s="540">
        <f t="shared" ref="F3139:G3139" si="2505">E3139*1.1</f>
        <v>0</v>
      </c>
      <c r="G3139" s="540">
        <f t="shared" si="2505"/>
        <v>0</v>
      </c>
    </row>
    <row r="3140" spans="1:8" ht="15.75" outlineLevel="1">
      <c r="A3140" s="621"/>
      <c r="B3140" s="621"/>
      <c r="C3140" s="438"/>
      <c r="D3140" s="490"/>
      <c r="E3140" s="432"/>
      <c r="F3140" s="540">
        <f t="shared" ref="F3140:G3140" si="2506">E3140*1.1</f>
        <v>0</v>
      </c>
      <c r="G3140" s="540">
        <f t="shared" si="2506"/>
        <v>0</v>
      </c>
    </row>
    <row r="3141" spans="1:8" ht="15.75" outlineLevel="1">
      <c r="A3141" s="621" t="s">
        <v>233</v>
      </c>
      <c r="B3141" s="632" t="s">
        <v>98</v>
      </c>
      <c r="C3141" s="438" t="s">
        <v>866</v>
      </c>
      <c r="D3141" s="490"/>
      <c r="E3141" s="633"/>
      <c r="F3141" s="540">
        <f t="shared" ref="F3141:G3141" si="2507">E3141*1.1</f>
        <v>0</v>
      </c>
      <c r="G3141" s="540">
        <f t="shared" si="2507"/>
        <v>0</v>
      </c>
    </row>
    <row r="3142" spans="1:8" ht="15.75" outlineLevel="2">
      <c r="A3142" s="384"/>
      <c r="B3142" s="384"/>
      <c r="C3142" s="443">
        <v>2210100</v>
      </c>
      <c r="D3142" s="492" t="s">
        <v>16</v>
      </c>
      <c r="E3142" s="615">
        <f>SUM(E3143)</f>
        <v>29000</v>
      </c>
      <c r="F3142" s="540">
        <f t="shared" ref="F3142:G3142" si="2508">E3142*1.1</f>
        <v>31900.000000000004</v>
      </c>
      <c r="G3142" s="540">
        <f t="shared" si="2508"/>
        <v>35090.000000000007</v>
      </c>
    </row>
    <row r="3143" spans="1:8" ht="15.75" outlineLevel="2">
      <c r="A3143" s="614"/>
      <c r="B3143" s="614"/>
      <c r="C3143" s="437">
        <v>2210101</v>
      </c>
      <c r="D3143" s="494" t="s">
        <v>17</v>
      </c>
      <c r="E3143" s="495">
        <v>29000</v>
      </c>
      <c r="F3143" s="540">
        <f t="shared" ref="F3143:G3143" si="2509">E3143*1.1</f>
        <v>31900.000000000004</v>
      </c>
      <c r="G3143" s="540">
        <f t="shared" si="2509"/>
        <v>35090.000000000007</v>
      </c>
    </row>
    <row r="3144" spans="1:8" ht="15.75" outlineLevel="2">
      <c r="A3144" s="328"/>
      <c r="B3144" s="384"/>
      <c r="C3144" s="443">
        <v>2210200</v>
      </c>
      <c r="D3144" s="492" t="s">
        <v>19</v>
      </c>
      <c r="E3144" s="615">
        <f>SUM(E3145)</f>
        <v>17400</v>
      </c>
      <c r="F3144" s="540">
        <f t="shared" ref="F3144:G3144" si="2510">E3144*1.1</f>
        <v>19140</v>
      </c>
      <c r="G3144" s="540">
        <f t="shared" si="2510"/>
        <v>21054</v>
      </c>
    </row>
    <row r="3145" spans="1:8" ht="15.75" outlineLevel="2">
      <c r="A3145" s="614"/>
      <c r="B3145" s="614"/>
      <c r="C3145" s="437">
        <v>2210201</v>
      </c>
      <c r="D3145" s="494" t="s">
        <v>236</v>
      </c>
      <c r="E3145" s="495">
        <v>17400</v>
      </c>
      <c r="F3145" s="540">
        <f t="shared" ref="F3145:G3145" si="2511">E3145*1.1</f>
        <v>19140</v>
      </c>
      <c r="G3145" s="540">
        <f t="shared" si="2511"/>
        <v>21054</v>
      </c>
    </row>
    <row r="3146" spans="1:8" ht="30" outlineLevel="2">
      <c r="A3146" s="384"/>
      <c r="B3146" s="384"/>
      <c r="C3146" s="443">
        <v>2210300</v>
      </c>
      <c r="D3146" s="492" t="s">
        <v>23</v>
      </c>
      <c r="E3146" s="615">
        <f>SUM(E3147:E3148)</f>
        <v>174000</v>
      </c>
      <c r="F3146" s="540">
        <f t="shared" ref="F3146:G3146" si="2512">E3146*1.1</f>
        <v>191400.00000000003</v>
      </c>
      <c r="G3146" s="540">
        <f t="shared" si="2512"/>
        <v>210540.00000000006</v>
      </c>
    </row>
    <row r="3147" spans="1:8" ht="15.75" outlineLevel="2">
      <c r="A3147" s="614"/>
      <c r="B3147" s="614"/>
      <c r="C3147" s="437">
        <v>2210302</v>
      </c>
      <c r="D3147" s="494" t="s">
        <v>25</v>
      </c>
      <c r="E3147" s="495">
        <v>87000</v>
      </c>
      <c r="F3147" s="540">
        <f t="shared" ref="F3147:G3147" si="2513">E3147*1.1</f>
        <v>95700.000000000015</v>
      </c>
      <c r="G3147" s="540">
        <f t="shared" si="2513"/>
        <v>105270.00000000003</v>
      </c>
    </row>
    <row r="3148" spans="1:8" ht="15.75" outlineLevel="2">
      <c r="A3148" s="614"/>
      <c r="B3148" s="614"/>
      <c r="C3148" s="437">
        <v>2210303</v>
      </c>
      <c r="D3148" s="494" t="s">
        <v>259</v>
      </c>
      <c r="E3148" s="495">
        <v>87000</v>
      </c>
      <c r="F3148" s="540">
        <f t="shared" ref="F3148:G3148" si="2514">E3148*1.1</f>
        <v>95700.000000000015</v>
      </c>
      <c r="G3148" s="540">
        <f t="shared" si="2514"/>
        <v>105270.00000000003</v>
      </c>
    </row>
    <row r="3149" spans="1:8" ht="15.75" outlineLevel="2">
      <c r="A3149" s="384"/>
      <c r="B3149" s="384"/>
      <c r="C3149" s="443">
        <v>2210500</v>
      </c>
      <c r="D3149" s="492" t="s">
        <v>30</v>
      </c>
      <c r="E3149" s="615">
        <f>SUM(E3150)</f>
        <v>29000</v>
      </c>
      <c r="F3149" s="540">
        <f t="shared" ref="F3149:G3149" si="2515">E3149*1.1</f>
        <v>31900.000000000004</v>
      </c>
      <c r="G3149" s="540">
        <f t="shared" si="2515"/>
        <v>35090.000000000007</v>
      </c>
    </row>
    <row r="3150" spans="1:8" ht="15.75" outlineLevel="2">
      <c r="A3150" s="614"/>
      <c r="B3150" s="614"/>
      <c r="C3150" s="437">
        <v>2210503</v>
      </c>
      <c r="D3150" s="494" t="s">
        <v>31</v>
      </c>
      <c r="E3150" s="495">
        <v>29000</v>
      </c>
      <c r="F3150" s="540">
        <f t="shared" ref="F3150:G3150" si="2516">E3150*1.1</f>
        <v>31900.000000000004</v>
      </c>
      <c r="G3150" s="540">
        <f t="shared" si="2516"/>
        <v>35090.000000000007</v>
      </c>
    </row>
    <row r="3151" spans="1:8" ht="15.75" outlineLevel="2">
      <c r="A3151" s="384"/>
      <c r="B3151" s="384"/>
      <c r="C3151" s="443">
        <v>2210800</v>
      </c>
      <c r="D3151" s="492" t="s">
        <v>41</v>
      </c>
      <c r="E3151" s="615">
        <f>SUM(E3152:E3153)</f>
        <v>162400</v>
      </c>
      <c r="F3151" s="540">
        <f t="shared" ref="F3151:G3151" si="2517">E3151*1.1</f>
        <v>178640</v>
      </c>
      <c r="G3151" s="540">
        <f t="shared" si="2517"/>
        <v>196504.00000000003</v>
      </c>
    </row>
    <row r="3152" spans="1:8" s="301" customFormat="1" ht="30" outlineLevel="2">
      <c r="A3152" s="614"/>
      <c r="B3152" s="614"/>
      <c r="C3152" s="437">
        <v>2210801</v>
      </c>
      <c r="D3152" s="494" t="s">
        <v>240</v>
      </c>
      <c r="E3152" s="495">
        <v>87000</v>
      </c>
      <c r="F3152" s="540">
        <f t="shared" ref="F3152:G3152" si="2518">E3152*1.1</f>
        <v>95700.000000000015</v>
      </c>
      <c r="G3152" s="540">
        <f t="shared" si="2518"/>
        <v>105270.00000000003</v>
      </c>
      <c r="H3152" s="132"/>
    </row>
    <row r="3153" spans="1:8" ht="15.75" outlineLevel="2">
      <c r="A3153" s="614"/>
      <c r="B3153" s="614"/>
      <c r="C3153" s="437">
        <v>2210802</v>
      </c>
      <c r="D3153" s="494" t="s">
        <v>86</v>
      </c>
      <c r="E3153" s="495">
        <v>75400</v>
      </c>
      <c r="F3153" s="540">
        <f t="shared" ref="F3153:G3153" si="2519">E3153*1.1</f>
        <v>82940</v>
      </c>
      <c r="G3153" s="540">
        <f t="shared" si="2519"/>
        <v>91234.000000000015</v>
      </c>
    </row>
    <row r="3154" spans="1:8" ht="15.75" outlineLevel="2">
      <c r="A3154" s="384"/>
      <c r="B3154" s="384"/>
      <c r="C3154" s="443">
        <v>2640400</v>
      </c>
      <c r="D3154" s="492" t="s">
        <v>528</v>
      </c>
      <c r="E3154" s="615">
        <f>E3155</f>
        <v>1209531</v>
      </c>
      <c r="F3154" s="540">
        <f t="shared" ref="F3154:G3154" si="2520">E3154*1.1</f>
        <v>1330484.1000000001</v>
      </c>
      <c r="G3154" s="540">
        <f t="shared" si="2520"/>
        <v>1463532.5100000002</v>
      </c>
    </row>
    <row r="3155" spans="1:8" ht="30" outlineLevel="2">
      <c r="A3155" s="614"/>
      <c r="B3155" s="614"/>
      <c r="C3155" s="437">
        <v>2640402</v>
      </c>
      <c r="D3155" s="494" t="s">
        <v>867</v>
      </c>
      <c r="E3155" s="495">
        <f>1521331-411800+100000</f>
        <v>1209531</v>
      </c>
      <c r="F3155" s="540">
        <f t="shared" ref="F3155:G3155" si="2521">E3155*1.1</f>
        <v>1330484.1000000001</v>
      </c>
      <c r="G3155" s="540">
        <f t="shared" si="2521"/>
        <v>1463532.5100000002</v>
      </c>
    </row>
    <row r="3156" spans="1:8" ht="15.75" outlineLevel="1">
      <c r="A3156" s="621"/>
      <c r="B3156" s="621"/>
      <c r="C3156" s="438"/>
      <c r="D3156" s="490" t="s">
        <v>101</v>
      </c>
      <c r="E3156" s="432">
        <f>E3151+E3149+E3146+E3144+E3142+E3154</f>
        <v>1621331</v>
      </c>
      <c r="F3156" s="540">
        <f t="shared" ref="F3156:G3156" si="2522">E3156*1.1</f>
        <v>1783464.1</v>
      </c>
      <c r="G3156" s="540">
        <f t="shared" si="2522"/>
        <v>1961810.5100000002</v>
      </c>
    </row>
    <row r="3157" spans="1:8" ht="15.75" outlineLevel="1" collapsed="1">
      <c r="A3157" s="384"/>
      <c r="B3157" s="384"/>
      <c r="C3157" s="443"/>
      <c r="D3157" s="490" t="s">
        <v>868</v>
      </c>
      <c r="E3157" s="432">
        <f>E3156</f>
        <v>1621331</v>
      </c>
      <c r="F3157" s="540">
        <f t="shared" ref="F3157:G3157" si="2523">E3157*1.1</f>
        <v>1783464.1</v>
      </c>
      <c r="G3157" s="540">
        <f t="shared" si="2523"/>
        <v>1961810.5100000002</v>
      </c>
    </row>
    <row r="3158" spans="1:8" ht="15.75" outlineLevel="1">
      <c r="A3158" s="384"/>
      <c r="B3158" s="384"/>
      <c r="C3158" s="443"/>
      <c r="D3158" s="490" t="s">
        <v>869</v>
      </c>
      <c r="E3158" s="432">
        <f>E3056+E3096+E3137+E3156</f>
        <v>45559057</v>
      </c>
      <c r="F3158" s="540">
        <f t="shared" ref="F3158:G3158" si="2524">E3158*1.1</f>
        <v>50114962.700000003</v>
      </c>
      <c r="G3158" s="540">
        <f t="shared" si="2524"/>
        <v>55126458.970000006</v>
      </c>
    </row>
    <row r="3159" spans="1:8" ht="15.75" outlineLevel="1">
      <c r="A3159" s="384"/>
      <c r="B3159" s="384"/>
      <c r="C3159" s="443"/>
      <c r="D3159" s="490" t="s">
        <v>870</v>
      </c>
      <c r="E3159" s="432">
        <f>E3104+E3060</f>
        <v>15419900</v>
      </c>
      <c r="F3159" s="540">
        <f t="shared" ref="F3159:G3159" si="2525">E3159*1.1</f>
        <v>16961890</v>
      </c>
      <c r="G3159" s="540">
        <f t="shared" si="2525"/>
        <v>18658079</v>
      </c>
    </row>
    <row r="3160" spans="1:8" ht="15.75" outlineLevel="1">
      <c r="A3160" s="384"/>
      <c r="B3160" s="384"/>
      <c r="C3160" s="443"/>
      <c r="D3160" s="490" t="s">
        <v>871</v>
      </c>
      <c r="E3160" s="432">
        <f>E3158+E3159</f>
        <v>60978957</v>
      </c>
      <c r="F3160" s="540">
        <f t="shared" ref="F3160:G3160" si="2526">E3160*1.1</f>
        <v>67076852.700000003</v>
      </c>
      <c r="G3160" s="540">
        <f t="shared" si="2526"/>
        <v>73784537.970000014</v>
      </c>
    </row>
    <row r="3161" spans="1:8">
      <c r="A3161" s="632"/>
      <c r="B3161" s="621"/>
      <c r="C3161" s="438"/>
      <c r="D3161" s="490" t="s">
        <v>511</v>
      </c>
      <c r="E3161" s="432">
        <f>E3156+E3137+E3096+E3056+E3004+E2978+E2931+E2857+E2898</f>
        <v>202248626.65999997</v>
      </c>
      <c r="F3161" s="432">
        <f t="shared" ref="F3161:G3161" si="2527">F3156+F3137+F3096+F3056+F3004+F2978+F2931+F2857+F2898</f>
        <v>222473489.32599998</v>
      </c>
      <c r="G3161" s="432">
        <f t="shared" si="2527"/>
        <v>244720838.25859997</v>
      </c>
    </row>
    <row r="3162" spans="1:8">
      <c r="A3162" s="632"/>
      <c r="B3162" s="621"/>
      <c r="C3162" s="438"/>
      <c r="D3162" s="490" t="s">
        <v>201</v>
      </c>
      <c r="E3162" s="432">
        <f>E3104+E3060+E3009+E2939+E2902</f>
        <v>68196364</v>
      </c>
      <c r="F3162" s="432">
        <f t="shared" ref="F3162:G3162" si="2528">F3104+F3060+F3009+F2939+F2902</f>
        <v>75016000.400000006</v>
      </c>
      <c r="G3162" s="432">
        <f t="shared" si="2528"/>
        <v>82517600.440000013</v>
      </c>
    </row>
    <row r="3163" spans="1:8">
      <c r="A3163" s="632"/>
      <c r="B3163" s="621"/>
      <c r="C3163" s="802" t="s">
        <v>872</v>
      </c>
      <c r="D3163" s="803"/>
      <c r="E3163" s="432">
        <f>E3162+E3161</f>
        <v>270444990.65999997</v>
      </c>
      <c r="F3163" s="432">
        <f t="shared" ref="F3163:G3163" si="2529">F3162+F3161</f>
        <v>297489489.72599995</v>
      </c>
      <c r="G3163" s="432">
        <f t="shared" si="2529"/>
        <v>327238438.69859999</v>
      </c>
    </row>
    <row r="3164" spans="1:8">
      <c r="A3164" s="632"/>
      <c r="B3164" s="621"/>
      <c r="C3164" s="635"/>
      <c r="D3164" s="635"/>
      <c r="E3164" s="432"/>
      <c r="F3164" s="324"/>
      <c r="G3164" s="324"/>
    </row>
    <row r="3165" spans="1:8">
      <c r="A3165" s="632"/>
      <c r="B3165" s="621"/>
      <c r="C3165" s="635"/>
      <c r="D3165" s="635"/>
      <c r="E3165" s="432"/>
      <c r="F3165" s="324"/>
      <c r="G3165" s="324"/>
    </row>
    <row r="3166" spans="1:8">
      <c r="A3166" s="632"/>
      <c r="B3166" s="621"/>
      <c r="C3166" s="635"/>
      <c r="D3166" s="635"/>
      <c r="E3166" s="432"/>
      <c r="F3166" s="324"/>
      <c r="G3166" s="324"/>
    </row>
    <row r="3167" spans="1:8" s="290" customFormat="1">
      <c r="A3167" s="636">
        <v>426000000</v>
      </c>
      <c r="B3167" s="505"/>
      <c r="C3167" s="438" t="s">
        <v>873</v>
      </c>
      <c r="D3167" s="375"/>
      <c r="E3167" s="432"/>
      <c r="F3167" s="382"/>
      <c r="G3167" s="382"/>
      <c r="H3167" s="132"/>
    </row>
    <row r="3168" spans="1:8" s="290" customFormat="1" outlineLevel="1">
      <c r="A3168" s="505"/>
      <c r="B3168" s="505"/>
      <c r="C3168" s="443" t="s">
        <v>874</v>
      </c>
      <c r="D3168" s="328"/>
      <c r="E3168" s="615"/>
      <c r="F3168" s="382"/>
      <c r="G3168" s="382"/>
      <c r="H3168" s="132"/>
    </row>
    <row r="3169" spans="1:8" s="290" customFormat="1" outlineLevel="1">
      <c r="A3169" s="505"/>
      <c r="B3169" s="505"/>
      <c r="C3169" s="443" t="s">
        <v>875</v>
      </c>
      <c r="D3169" s="328"/>
      <c r="E3169" s="615"/>
      <c r="F3169" s="382"/>
      <c r="G3169" s="382"/>
      <c r="H3169" s="132"/>
    </row>
    <row r="3170" spans="1:8" s="290" customFormat="1" outlineLevel="3">
      <c r="A3170" s="505"/>
      <c r="B3170" s="505"/>
      <c r="C3170" s="441">
        <v>2110100</v>
      </c>
      <c r="D3170" s="320" t="s">
        <v>13</v>
      </c>
      <c r="E3170" s="637">
        <f>E3171</f>
        <v>245991866.5</v>
      </c>
      <c r="F3170" s="501">
        <f t="shared" ref="F3170:G3185" si="2530">E3170*1.1</f>
        <v>270591053.15000004</v>
      </c>
      <c r="G3170" s="638">
        <f t="shared" si="2530"/>
        <v>297650158.46500009</v>
      </c>
      <c r="H3170" s="132"/>
    </row>
    <row r="3171" spans="1:8" s="290" customFormat="1" outlineLevel="3">
      <c r="A3171" s="505"/>
      <c r="B3171" s="505"/>
      <c r="C3171" s="355">
        <v>2110101</v>
      </c>
      <c r="D3171" s="505" t="s">
        <v>14</v>
      </c>
      <c r="E3171" s="639">
        <f>232006433.5+13985433</f>
        <v>245991866.5</v>
      </c>
      <c r="F3171" s="501">
        <f t="shared" si="2530"/>
        <v>270591053.15000004</v>
      </c>
      <c r="G3171" s="638">
        <f t="shared" si="2530"/>
        <v>297650158.46500009</v>
      </c>
      <c r="H3171" s="132"/>
    </row>
    <row r="3172" spans="1:8" s="290" customFormat="1" outlineLevel="3">
      <c r="A3172" s="505"/>
      <c r="B3172" s="505"/>
      <c r="C3172" s="441">
        <v>2120100</v>
      </c>
      <c r="D3172" s="320" t="s">
        <v>876</v>
      </c>
      <c r="E3172" s="637">
        <f>E3173</f>
        <v>124089.5</v>
      </c>
      <c r="F3172" s="501">
        <f t="shared" si="2530"/>
        <v>136498.45000000001</v>
      </c>
      <c r="G3172" s="638">
        <f t="shared" si="2530"/>
        <v>150148.29500000001</v>
      </c>
      <c r="H3172" s="132"/>
    </row>
    <row r="3173" spans="1:8" s="290" customFormat="1" outlineLevel="3">
      <c r="A3173" s="505"/>
      <c r="B3173" s="505"/>
      <c r="C3173" s="355">
        <v>2120103</v>
      </c>
      <c r="D3173" s="505" t="s">
        <v>877</v>
      </c>
      <c r="E3173" s="639">
        <v>124089.5</v>
      </c>
      <c r="F3173" s="501">
        <f t="shared" si="2530"/>
        <v>136498.45000000001</v>
      </c>
      <c r="G3173" s="638">
        <f t="shared" si="2530"/>
        <v>150148.29500000001</v>
      </c>
      <c r="H3173" s="132"/>
    </row>
    <row r="3174" spans="1:8" s="290" customFormat="1" outlineLevel="3">
      <c r="A3174" s="505"/>
      <c r="B3174" s="505"/>
      <c r="C3174" s="441">
        <v>2210100</v>
      </c>
      <c r="D3174" s="320" t="s">
        <v>16</v>
      </c>
      <c r="E3174" s="637">
        <f>E3175+E3176</f>
        <v>249400</v>
      </c>
      <c r="F3174" s="501">
        <f t="shared" si="2530"/>
        <v>274340</v>
      </c>
      <c r="G3174" s="638">
        <f t="shared" si="2530"/>
        <v>301774</v>
      </c>
      <c r="H3174" s="132"/>
    </row>
    <row r="3175" spans="1:8" s="290" customFormat="1" outlineLevel="3">
      <c r="A3175" s="505"/>
      <c r="B3175" s="505"/>
      <c r="C3175" s="355">
        <v>2210101</v>
      </c>
      <c r="D3175" s="505" t="s">
        <v>17</v>
      </c>
      <c r="E3175" s="639">
        <v>145000</v>
      </c>
      <c r="F3175" s="501">
        <f t="shared" si="2530"/>
        <v>159500</v>
      </c>
      <c r="G3175" s="638">
        <f t="shared" si="2530"/>
        <v>175450</v>
      </c>
      <c r="H3175" s="132"/>
    </row>
    <row r="3176" spans="1:8" s="290" customFormat="1" outlineLevel="3">
      <c r="A3176" s="505"/>
      <c r="B3176" s="505"/>
      <c r="C3176" s="355">
        <v>2210102</v>
      </c>
      <c r="D3176" s="505" t="s">
        <v>18</v>
      </c>
      <c r="E3176" s="639">
        <v>104400</v>
      </c>
      <c r="F3176" s="501">
        <f t="shared" si="2530"/>
        <v>114840.00000000001</v>
      </c>
      <c r="G3176" s="638">
        <f t="shared" si="2530"/>
        <v>126324.00000000003</v>
      </c>
      <c r="H3176" s="132"/>
    </row>
    <row r="3177" spans="1:8" s="290" customFormat="1" outlineLevel="3">
      <c r="A3177" s="505"/>
      <c r="B3177" s="505"/>
      <c r="C3177" s="441">
        <v>2210200</v>
      </c>
      <c r="D3177" s="320" t="s">
        <v>19</v>
      </c>
      <c r="E3177" s="637">
        <f>E3178+E3179+E3180</f>
        <v>1000500</v>
      </c>
      <c r="F3177" s="501">
        <f t="shared" si="2530"/>
        <v>1100550</v>
      </c>
      <c r="G3177" s="638">
        <f t="shared" si="2530"/>
        <v>1210605</v>
      </c>
      <c r="H3177" s="132"/>
    </row>
    <row r="3178" spans="1:8" s="290" customFormat="1" outlineLevel="3">
      <c r="A3178" s="505"/>
      <c r="B3178" s="505"/>
      <c r="C3178" s="355">
        <v>2210201</v>
      </c>
      <c r="D3178" s="505" t="s">
        <v>20</v>
      </c>
      <c r="E3178" s="639">
        <v>522000</v>
      </c>
      <c r="F3178" s="501">
        <f t="shared" si="2530"/>
        <v>574200</v>
      </c>
      <c r="G3178" s="638">
        <f t="shared" si="2530"/>
        <v>631620</v>
      </c>
      <c r="H3178" s="132"/>
    </row>
    <row r="3179" spans="1:8" s="290" customFormat="1" outlineLevel="3">
      <c r="A3179" s="505"/>
      <c r="B3179" s="505"/>
      <c r="C3179" s="355">
        <v>2210202</v>
      </c>
      <c r="D3179" s="505" t="s">
        <v>878</v>
      </c>
      <c r="E3179" s="639">
        <v>464000</v>
      </c>
      <c r="F3179" s="501">
        <f t="shared" si="2530"/>
        <v>510400.00000000006</v>
      </c>
      <c r="G3179" s="638">
        <f t="shared" si="2530"/>
        <v>561440.00000000012</v>
      </c>
      <c r="H3179" s="132"/>
    </row>
    <row r="3180" spans="1:8" s="290" customFormat="1" outlineLevel="3">
      <c r="A3180" s="505"/>
      <c r="B3180" s="505"/>
      <c r="C3180" s="355">
        <v>2210203</v>
      </c>
      <c r="D3180" s="505" t="s">
        <v>22</v>
      </c>
      <c r="E3180" s="639">
        <v>14500</v>
      </c>
      <c r="F3180" s="501">
        <f t="shared" si="2530"/>
        <v>15950.000000000002</v>
      </c>
      <c r="G3180" s="638">
        <f t="shared" si="2530"/>
        <v>17545.000000000004</v>
      </c>
      <c r="H3180" s="132"/>
    </row>
    <row r="3181" spans="1:8" s="290" customFormat="1" outlineLevel="3">
      <c r="A3181" s="505"/>
      <c r="B3181" s="505"/>
      <c r="C3181" s="441">
        <v>2210300</v>
      </c>
      <c r="D3181" s="320" t="s">
        <v>23</v>
      </c>
      <c r="E3181" s="637">
        <f>E3182+E3183+E3184+E3185</f>
        <v>9858688.5054000001</v>
      </c>
      <c r="F3181" s="501">
        <f t="shared" si="2530"/>
        <v>10844557.355940001</v>
      </c>
      <c r="G3181" s="638">
        <f t="shared" si="2530"/>
        <v>11929013.091534002</v>
      </c>
      <c r="H3181" s="132"/>
    </row>
    <row r="3182" spans="1:8" s="290" customFormat="1" outlineLevel="3">
      <c r="A3182" s="505"/>
      <c r="B3182" s="505"/>
      <c r="C3182" s="355">
        <v>2210301</v>
      </c>
      <c r="D3182" s="505" t="s">
        <v>24</v>
      </c>
      <c r="E3182" s="639">
        <f>2130500-2000000+2000000</f>
        <v>2130500</v>
      </c>
      <c r="F3182" s="501">
        <f t="shared" si="2530"/>
        <v>2343550</v>
      </c>
      <c r="G3182" s="638">
        <f t="shared" si="2530"/>
        <v>2577905</v>
      </c>
      <c r="H3182" s="132"/>
    </row>
    <row r="3183" spans="1:8" s="290" customFormat="1" outlineLevel="3">
      <c r="A3183" s="505"/>
      <c r="B3183" s="505"/>
      <c r="C3183" s="355">
        <v>2210302</v>
      </c>
      <c r="D3183" s="505" t="s">
        <v>879</v>
      </c>
      <c r="E3183" s="639">
        <f>1000000-500000+5000000</f>
        <v>5500000</v>
      </c>
      <c r="F3183" s="501">
        <f t="shared" si="2530"/>
        <v>6050000.0000000009</v>
      </c>
      <c r="G3183" s="638">
        <f t="shared" si="2530"/>
        <v>6655000.0000000019</v>
      </c>
      <c r="H3183" s="132"/>
    </row>
    <row r="3184" spans="1:8" s="290" customFormat="1" outlineLevel="3">
      <c r="A3184" s="505"/>
      <c r="B3184" s="505"/>
      <c r="C3184" s="355">
        <v>2210303</v>
      </c>
      <c r="D3184" s="505" t="s">
        <v>26</v>
      </c>
      <c r="E3184" s="639">
        <f>2554499.5054-500000-1500000+1500000</f>
        <v>2054499.5054000001</v>
      </c>
      <c r="F3184" s="501">
        <f t="shared" si="2530"/>
        <v>2259949.4559400002</v>
      </c>
      <c r="G3184" s="638">
        <f t="shared" si="2530"/>
        <v>2485944.4015340004</v>
      </c>
      <c r="H3184" s="132"/>
    </row>
    <row r="3185" spans="1:8" s="290" customFormat="1" outlineLevel="3">
      <c r="A3185" s="505"/>
      <c r="B3185" s="505"/>
      <c r="C3185" s="355">
        <v>2210304</v>
      </c>
      <c r="D3185" s="505" t="s">
        <v>27</v>
      </c>
      <c r="E3185" s="639">
        <v>173689</v>
      </c>
      <c r="F3185" s="501">
        <f t="shared" si="2530"/>
        <v>191057.90000000002</v>
      </c>
      <c r="G3185" s="638">
        <f t="shared" si="2530"/>
        <v>210163.69000000003</v>
      </c>
      <c r="H3185" s="132"/>
    </row>
    <row r="3186" spans="1:8" s="290" customFormat="1" outlineLevel="3">
      <c r="A3186" s="505"/>
      <c r="B3186" s="505"/>
      <c r="C3186" s="441">
        <v>2210400</v>
      </c>
      <c r="D3186" s="320" t="s">
        <v>631</v>
      </c>
      <c r="E3186" s="637">
        <f>E3187</f>
        <v>500000</v>
      </c>
      <c r="F3186" s="501">
        <f t="shared" ref="F3186:G3247" si="2531">E3186*1.1</f>
        <v>550000</v>
      </c>
      <c r="G3186" s="638">
        <f t="shared" si="2531"/>
        <v>605000</v>
      </c>
      <c r="H3186" s="132"/>
    </row>
    <row r="3187" spans="1:8" s="290" customFormat="1" outlineLevel="3">
      <c r="A3187" s="505"/>
      <c r="B3187" s="505"/>
      <c r="C3187" s="355">
        <v>2210401</v>
      </c>
      <c r="D3187" s="505" t="s">
        <v>24</v>
      </c>
      <c r="E3187" s="639">
        <v>500000</v>
      </c>
      <c r="F3187" s="501">
        <f t="shared" si="2531"/>
        <v>550000</v>
      </c>
      <c r="G3187" s="638">
        <f t="shared" si="2531"/>
        <v>605000</v>
      </c>
      <c r="H3187" s="132"/>
    </row>
    <row r="3188" spans="1:8" s="290" customFormat="1" outlineLevel="3">
      <c r="A3188" s="505"/>
      <c r="B3188" s="505"/>
      <c r="C3188" s="441">
        <v>2210500</v>
      </c>
      <c r="D3188" s="320" t="s">
        <v>30</v>
      </c>
      <c r="E3188" s="637">
        <f>E3189+E3190+E3191</f>
        <v>3385800</v>
      </c>
      <c r="F3188" s="501">
        <f t="shared" si="2531"/>
        <v>3724380.0000000005</v>
      </c>
      <c r="G3188" s="638">
        <f t="shared" si="2531"/>
        <v>4096818.0000000009</v>
      </c>
      <c r="H3188" s="132"/>
    </row>
    <row r="3189" spans="1:8" s="290" customFormat="1" outlineLevel="3">
      <c r="A3189" s="505"/>
      <c r="B3189" s="505"/>
      <c r="C3189" s="355">
        <v>2210502</v>
      </c>
      <c r="D3189" s="505" t="s">
        <v>162</v>
      </c>
      <c r="E3189" s="639">
        <f>2261000-1000000-1000000</f>
        <v>261000</v>
      </c>
      <c r="F3189" s="501">
        <f t="shared" si="2531"/>
        <v>287100</v>
      </c>
      <c r="G3189" s="638">
        <f t="shared" si="2531"/>
        <v>315810</v>
      </c>
      <c r="H3189" s="132"/>
    </row>
    <row r="3190" spans="1:8" s="290" customFormat="1" outlineLevel="3">
      <c r="A3190" s="505"/>
      <c r="B3190" s="505"/>
      <c r="C3190" s="355">
        <v>2210503</v>
      </c>
      <c r="D3190" s="505" t="s">
        <v>31</v>
      </c>
      <c r="E3190" s="639">
        <f>2121800-500000-1000000</f>
        <v>621800</v>
      </c>
      <c r="F3190" s="501">
        <f t="shared" si="2531"/>
        <v>683980</v>
      </c>
      <c r="G3190" s="638">
        <f t="shared" si="2531"/>
        <v>752378.00000000012</v>
      </c>
      <c r="H3190" s="132"/>
    </row>
    <row r="3191" spans="1:8" s="290" customFormat="1" outlineLevel="3">
      <c r="A3191" s="505"/>
      <c r="B3191" s="505"/>
      <c r="C3191" s="355">
        <v>2210504</v>
      </c>
      <c r="D3191" s="640" t="s">
        <v>32</v>
      </c>
      <c r="E3191" s="639">
        <f>1203000-700000+2000000</f>
        <v>2503000</v>
      </c>
      <c r="F3191" s="501">
        <f t="shared" si="2531"/>
        <v>2753300</v>
      </c>
      <c r="G3191" s="638">
        <f t="shared" si="2531"/>
        <v>3028630.0000000005</v>
      </c>
      <c r="H3191" s="132"/>
    </row>
    <row r="3192" spans="1:8" s="290" customFormat="1" outlineLevel="3">
      <c r="A3192" s="505"/>
      <c r="B3192" s="505"/>
      <c r="C3192" s="441">
        <v>2210700</v>
      </c>
      <c r="D3192" s="320" t="s">
        <v>34</v>
      </c>
      <c r="E3192" s="637">
        <f>SUM(E3193:E3197)</f>
        <v>2543000</v>
      </c>
      <c r="F3192" s="501">
        <f t="shared" si="2531"/>
        <v>2797300</v>
      </c>
      <c r="G3192" s="638">
        <f t="shared" si="2531"/>
        <v>3077030.0000000005</v>
      </c>
      <c r="H3192" s="132"/>
    </row>
    <row r="3193" spans="1:8" s="290" customFormat="1" outlineLevel="3">
      <c r="A3193" s="505"/>
      <c r="B3193" s="505"/>
      <c r="C3193" s="355">
        <v>2210701</v>
      </c>
      <c r="D3193" s="505" t="s">
        <v>35</v>
      </c>
      <c r="E3193" s="639">
        <f>1116000-500000+1000000</f>
        <v>1616000</v>
      </c>
      <c r="F3193" s="501">
        <f t="shared" si="2531"/>
        <v>1777600.0000000002</v>
      </c>
      <c r="G3193" s="638">
        <f t="shared" si="2531"/>
        <v>1955360.0000000005</v>
      </c>
      <c r="H3193" s="132"/>
    </row>
    <row r="3194" spans="1:8" s="290" customFormat="1" outlineLevel="3">
      <c r="A3194" s="505"/>
      <c r="B3194" s="505"/>
      <c r="C3194" s="355">
        <v>2210703</v>
      </c>
      <c r="D3194" s="505" t="s">
        <v>166</v>
      </c>
      <c r="E3194" s="639">
        <v>145000</v>
      </c>
      <c r="F3194" s="501">
        <f t="shared" si="2531"/>
        <v>159500</v>
      </c>
      <c r="G3194" s="638">
        <f t="shared" si="2531"/>
        <v>175450</v>
      </c>
      <c r="H3194" s="132"/>
    </row>
    <row r="3195" spans="1:8" s="290" customFormat="1" outlineLevel="3">
      <c r="A3195" s="505"/>
      <c r="B3195" s="505"/>
      <c r="C3195" s="355">
        <v>2210704</v>
      </c>
      <c r="D3195" s="505" t="s">
        <v>37</v>
      </c>
      <c r="E3195" s="639">
        <v>116000</v>
      </c>
      <c r="F3195" s="501">
        <f t="shared" si="2531"/>
        <v>127600.00000000001</v>
      </c>
      <c r="G3195" s="638">
        <f t="shared" si="2531"/>
        <v>140360.00000000003</v>
      </c>
      <c r="H3195" s="132"/>
    </row>
    <row r="3196" spans="1:8" s="290" customFormat="1" outlineLevel="3">
      <c r="A3196" s="505"/>
      <c r="B3196" s="505"/>
      <c r="C3196" s="355">
        <v>2210710</v>
      </c>
      <c r="D3196" s="505" t="s">
        <v>38</v>
      </c>
      <c r="E3196" s="639">
        <v>116000</v>
      </c>
      <c r="F3196" s="501">
        <f t="shared" si="2531"/>
        <v>127600.00000000001</v>
      </c>
      <c r="G3196" s="638">
        <f t="shared" si="2531"/>
        <v>140360.00000000003</v>
      </c>
      <c r="H3196" s="132"/>
    </row>
    <row r="3197" spans="1:8" s="290" customFormat="1" outlineLevel="3">
      <c r="A3197" s="505"/>
      <c r="B3197" s="505"/>
      <c r="C3197" s="355">
        <v>2210715</v>
      </c>
      <c r="D3197" s="505" t="s">
        <v>39</v>
      </c>
      <c r="E3197" s="639">
        <v>550000</v>
      </c>
      <c r="F3197" s="501">
        <f t="shared" si="2531"/>
        <v>605000</v>
      </c>
      <c r="G3197" s="638">
        <f t="shared" si="2531"/>
        <v>665500</v>
      </c>
      <c r="H3197" s="132"/>
    </row>
    <row r="3198" spans="1:8" s="290" customFormat="1" outlineLevel="3">
      <c r="A3198" s="505"/>
      <c r="B3198" s="505"/>
      <c r="C3198" s="441">
        <v>2210800</v>
      </c>
      <c r="D3198" s="320" t="s">
        <v>41</v>
      </c>
      <c r="E3198" s="637">
        <f>E3199+E3200</f>
        <v>905000</v>
      </c>
      <c r="F3198" s="501">
        <f t="shared" si="2531"/>
        <v>995500.00000000012</v>
      </c>
      <c r="G3198" s="638">
        <f t="shared" si="2531"/>
        <v>1095050.0000000002</v>
      </c>
      <c r="H3198" s="132"/>
    </row>
    <row r="3199" spans="1:8" s="290" customFormat="1" outlineLevel="3">
      <c r="A3199" s="505"/>
      <c r="B3199" s="505"/>
      <c r="C3199" s="355">
        <v>2210801</v>
      </c>
      <c r="D3199" s="505" t="s">
        <v>240</v>
      </c>
      <c r="E3199" s="639">
        <v>187000</v>
      </c>
      <c r="F3199" s="501">
        <f t="shared" si="2531"/>
        <v>205700.00000000003</v>
      </c>
      <c r="G3199" s="638">
        <f t="shared" si="2531"/>
        <v>226270.00000000006</v>
      </c>
      <c r="H3199" s="132"/>
    </row>
    <row r="3200" spans="1:8" s="290" customFormat="1" outlineLevel="3">
      <c r="A3200" s="505"/>
      <c r="B3200" s="505"/>
      <c r="C3200" s="355">
        <v>2210802</v>
      </c>
      <c r="D3200" s="505" t="s">
        <v>880</v>
      </c>
      <c r="E3200" s="639">
        <f>1218000-500000</f>
        <v>718000</v>
      </c>
      <c r="F3200" s="501">
        <f t="shared" si="2531"/>
        <v>789800.00000000012</v>
      </c>
      <c r="G3200" s="638">
        <f t="shared" si="2531"/>
        <v>868780.00000000023</v>
      </c>
      <c r="H3200" s="132"/>
    </row>
    <row r="3201" spans="1:8" s="290" customFormat="1" outlineLevel="3">
      <c r="A3201" s="505"/>
      <c r="B3201" s="505"/>
      <c r="C3201" s="441">
        <v>2211100</v>
      </c>
      <c r="D3201" s="320" t="s">
        <v>49</v>
      </c>
      <c r="E3201" s="637">
        <f>E3202+E3203+E3204</f>
        <v>936400</v>
      </c>
      <c r="F3201" s="501">
        <f t="shared" si="2531"/>
        <v>1030040.0000000001</v>
      </c>
      <c r="G3201" s="638">
        <f t="shared" si="2531"/>
        <v>1133044.0000000002</v>
      </c>
      <c r="H3201" s="132"/>
    </row>
    <row r="3202" spans="1:8" s="290" customFormat="1" outlineLevel="3">
      <c r="A3202" s="505"/>
      <c r="B3202" s="505"/>
      <c r="C3202" s="355">
        <v>2211101</v>
      </c>
      <c r="D3202" s="505" t="s">
        <v>87</v>
      </c>
      <c r="E3202" s="639">
        <f>1203000-500000</f>
        <v>703000</v>
      </c>
      <c r="F3202" s="501">
        <f t="shared" si="2531"/>
        <v>773300.00000000012</v>
      </c>
      <c r="G3202" s="638">
        <f t="shared" si="2531"/>
        <v>850630.00000000023</v>
      </c>
      <c r="H3202" s="132"/>
    </row>
    <row r="3203" spans="1:8" s="290" customFormat="1" outlineLevel="3">
      <c r="A3203" s="505"/>
      <c r="B3203" s="505"/>
      <c r="C3203" s="355">
        <v>2211102</v>
      </c>
      <c r="D3203" s="505" t="s">
        <v>51</v>
      </c>
      <c r="E3203" s="639">
        <v>187000</v>
      </c>
      <c r="F3203" s="501">
        <f t="shared" si="2531"/>
        <v>205700.00000000003</v>
      </c>
      <c r="G3203" s="638">
        <f t="shared" si="2531"/>
        <v>226270.00000000006</v>
      </c>
      <c r="H3203" s="132"/>
    </row>
    <row r="3204" spans="1:8" s="290" customFormat="1" outlineLevel="3">
      <c r="A3204" s="505"/>
      <c r="B3204" s="505"/>
      <c r="C3204" s="355">
        <v>2211103</v>
      </c>
      <c r="D3204" s="505" t="s">
        <v>52</v>
      </c>
      <c r="E3204" s="639">
        <v>46400</v>
      </c>
      <c r="F3204" s="501">
        <f t="shared" si="2531"/>
        <v>51040.000000000007</v>
      </c>
      <c r="G3204" s="638">
        <f t="shared" si="2531"/>
        <v>56144.000000000015</v>
      </c>
      <c r="H3204" s="132"/>
    </row>
    <row r="3205" spans="1:8" s="290" customFormat="1" outlineLevel="3">
      <c r="A3205" s="505"/>
      <c r="B3205" s="505"/>
      <c r="C3205" s="441">
        <v>2211200</v>
      </c>
      <c r="D3205" s="320" t="s">
        <v>53</v>
      </c>
      <c r="E3205" s="637">
        <f>E3206</f>
        <v>1660000</v>
      </c>
      <c r="F3205" s="501">
        <f t="shared" si="2531"/>
        <v>1826000.0000000002</v>
      </c>
      <c r="G3205" s="638">
        <f t="shared" si="2531"/>
        <v>2008600.0000000005</v>
      </c>
      <c r="H3205" s="132"/>
    </row>
    <row r="3206" spans="1:8" s="290" customFormat="1" outlineLevel="3">
      <c r="A3206" s="505"/>
      <c r="B3206" s="505"/>
      <c r="C3206" s="355">
        <v>2211201</v>
      </c>
      <c r="D3206" s="505" t="s">
        <v>91</v>
      </c>
      <c r="E3206" s="639">
        <f>3160000-1000000-500000</f>
        <v>1660000</v>
      </c>
      <c r="F3206" s="501">
        <f t="shared" si="2531"/>
        <v>1826000.0000000002</v>
      </c>
      <c r="G3206" s="638">
        <f t="shared" si="2531"/>
        <v>2008600.0000000005</v>
      </c>
      <c r="H3206" s="132"/>
    </row>
    <row r="3207" spans="1:8" s="290" customFormat="1" outlineLevel="3">
      <c r="A3207" s="505"/>
      <c r="B3207" s="505"/>
      <c r="C3207" s="441">
        <v>2211300</v>
      </c>
      <c r="D3207" s="320" t="s">
        <v>881</v>
      </c>
      <c r="E3207" s="637">
        <f>E3208</f>
        <v>63800</v>
      </c>
      <c r="F3207" s="501">
        <f t="shared" si="2531"/>
        <v>70180</v>
      </c>
      <c r="G3207" s="638">
        <f t="shared" si="2531"/>
        <v>77198</v>
      </c>
      <c r="H3207" s="132"/>
    </row>
    <row r="3208" spans="1:8" s="290" customFormat="1" outlineLevel="3">
      <c r="A3208" s="505"/>
      <c r="B3208" s="505"/>
      <c r="C3208" s="355">
        <v>2211301</v>
      </c>
      <c r="D3208" s="505" t="s">
        <v>882</v>
      </c>
      <c r="E3208" s="639">
        <v>63800</v>
      </c>
      <c r="F3208" s="501">
        <f t="shared" si="2531"/>
        <v>70180</v>
      </c>
      <c r="G3208" s="638">
        <f t="shared" si="2531"/>
        <v>77198</v>
      </c>
      <c r="H3208" s="132"/>
    </row>
    <row r="3209" spans="1:8" s="290" customFormat="1" outlineLevel="3">
      <c r="A3209" s="505"/>
      <c r="B3209" s="505"/>
      <c r="C3209" s="441">
        <v>2220100</v>
      </c>
      <c r="D3209" s="320" t="s">
        <v>61</v>
      </c>
      <c r="E3209" s="637">
        <f>E3210+E3211</f>
        <v>1725000</v>
      </c>
      <c r="F3209" s="501">
        <f t="shared" si="2531"/>
        <v>1897500.0000000002</v>
      </c>
      <c r="G3209" s="638">
        <f t="shared" si="2531"/>
        <v>2087250.0000000005</v>
      </c>
      <c r="H3209" s="132"/>
    </row>
    <row r="3210" spans="1:8" s="290" customFormat="1" outlineLevel="3">
      <c r="A3210" s="505"/>
      <c r="B3210" s="505"/>
      <c r="C3210" s="355">
        <v>2220101</v>
      </c>
      <c r="D3210" s="505" t="s">
        <v>92</v>
      </c>
      <c r="E3210" s="639">
        <f>1435000-500000+500000</f>
        <v>1435000</v>
      </c>
      <c r="F3210" s="501">
        <f t="shared" si="2531"/>
        <v>1578500.0000000002</v>
      </c>
      <c r="G3210" s="638">
        <f t="shared" si="2531"/>
        <v>1736350.0000000005</v>
      </c>
      <c r="H3210" s="132"/>
    </row>
    <row r="3211" spans="1:8" s="290" customFormat="1" outlineLevel="3">
      <c r="A3211" s="505"/>
      <c r="B3211" s="505"/>
      <c r="C3211" s="355">
        <v>2220105</v>
      </c>
      <c r="D3211" s="505" t="s">
        <v>64</v>
      </c>
      <c r="E3211" s="639">
        <v>290000</v>
      </c>
      <c r="F3211" s="501">
        <f t="shared" si="2531"/>
        <v>319000</v>
      </c>
      <c r="G3211" s="638">
        <f t="shared" si="2531"/>
        <v>350900</v>
      </c>
      <c r="H3211" s="132"/>
    </row>
    <row r="3212" spans="1:8" s="290" customFormat="1" outlineLevel="3">
      <c r="A3212" s="505"/>
      <c r="B3212" s="505"/>
      <c r="C3212" s="441">
        <v>3110300</v>
      </c>
      <c r="D3212" s="320" t="s">
        <v>294</v>
      </c>
      <c r="E3212" s="637">
        <f>E3213</f>
        <v>116000</v>
      </c>
      <c r="F3212" s="501">
        <f t="shared" si="2531"/>
        <v>127600.00000000001</v>
      </c>
      <c r="G3212" s="638">
        <f t="shared" si="2531"/>
        <v>140360.00000000003</v>
      </c>
      <c r="H3212" s="132"/>
    </row>
    <row r="3213" spans="1:8" s="290" customFormat="1" outlineLevel="3">
      <c r="A3213" s="505"/>
      <c r="B3213" s="505"/>
      <c r="C3213" s="355">
        <v>3110302</v>
      </c>
      <c r="D3213" s="505" t="s">
        <v>295</v>
      </c>
      <c r="E3213" s="639">
        <v>116000</v>
      </c>
      <c r="F3213" s="501">
        <f t="shared" si="2531"/>
        <v>127600.00000000001</v>
      </c>
      <c r="G3213" s="638">
        <f t="shared" si="2531"/>
        <v>140360.00000000003</v>
      </c>
      <c r="H3213" s="132"/>
    </row>
    <row r="3214" spans="1:8" s="290" customFormat="1" outlineLevel="3">
      <c r="A3214" s="505"/>
      <c r="B3214" s="505"/>
      <c r="C3214" s="441">
        <v>3111000</v>
      </c>
      <c r="D3214" s="320" t="s">
        <v>65</v>
      </c>
      <c r="E3214" s="637">
        <f>E3215+E3216+E3217</f>
        <v>1248994.8045999999</v>
      </c>
      <c r="F3214" s="501">
        <f t="shared" si="2531"/>
        <v>1373894.2850599999</v>
      </c>
      <c r="G3214" s="638">
        <f t="shared" si="2531"/>
        <v>1511283.7135660001</v>
      </c>
      <c r="H3214" s="132"/>
    </row>
    <row r="3215" spans="1:8" s="290" customFormat="1" outlineLevel="3">
      <c r="A3215" s="505"/>
      <c r="B3215" s="505"/>
      <c r="C3215" s="355">
        <v>3111001</v>
      </c>
      <c r="D3215" s="505" t="s">
        <v>66</v>
      </c>
      <c r="E3215" s="639">
        <f>2132994.8046-1000000-500000</f>
        <v>632994.80459999992</v>
      </c>
      <c r="F3215" s="501">
        <f t="shared" si="2531"/>
        <v>696294.28505999991</v>
      </c>
      <c r="G3215" s="638">
        <f t="shared" si="2531"/>
        <v>765923.71356599999</v>
      </c>
      <c r="H3215" s="132"/>
    </row>
    <row r="3216" spans="1:8" s="290" customFormat="1" outlineLevel="3">
      <c r="A3216" s="505"/>
      <c r="B3216" s="505"/>
      <c r="C3216" s="355">
        <v>3111002</v>
      </c>
      <c r="D3216" s="505" t="s">
        <v>67</v>
      </c>
      <c r="E3216" s="639">
        <v>500000</v>
      </c>
      <c r="F3216" s="501">
        <f t="shared" si="2531"/>
        <v>550000</v>
      </c>
      <c r="G3216" s="638">
        <f t="shared" si="2531"/>
        <v>605000</v>
      </c>
      <c r="H3216" s="132"/>
    </row>
    <row r="3217" spans="1:8" s="290" customFormat="1" outlineLevel="3">
      <c r="A3217" s="505"/>
      <c r="B3217" s="505"/>
      <c r="C3217" s="355">
        <v>3111009</v>
      </c>
      <c r="D3217" s="505" t="s">
        <v>227</v>
      </c>
      <c r="E3217" s="639">
        <v>116000</v>
      </c>
      <c r="F3217" s="501">
        <f t="shared" si="2531"/>
        <v>127600.00000000001</v>
      </c>
      <c r="G3217" s="638">
        <f t="shared" si="2531"/>
        <v>140360.00000000003</v>
      </c>
      <c r="H3217" s="132"/>
    </row>
    <row r="3218" spans="1:8" s="290" customFormat="1" outlineLevel="3">
      <c r="A3218" s="320"/>
      <c r="B3218" s="320"/>
      <c r="C3218" s="441">
        <v>4110400</v>
      </c>
      <c r="D3218" s="320" t="s">
        <v>883</v>
      </c>
      <c r="E3218" s="637">
        <f>E3219</f>
        <v>0</v>
      </c>
      <c r="F3218" s="501">
        <f t="shared" si="2531"/>
        <v>0</v>
      </c>
      <c r="G3218" s="638">
        <f t="shared" si="2531"/>
        <v>0</v>
      </c>
      <c r="H3218" s="132"/>
    </row>
    <row r="3219" spans="1:8" s="290" customFormat="1" outlineLevel="3">
      <c r="A3219" s="505"/>
      <c r="B3219" s="505"/>
      <c r="C3219" s="355">
        <v>4110403</v>
      </c>
      <c r="D3219" s="505" t="s">
        <v>884</v>
      </c>
      <c r="E3219" s="639">
        <v>0</v>
      </c>
      <c r="F3219" s="501">
        <f t="shared" si="2531"/>
        <v>0</v>
      </c>
      <c r="G3219" s="638">
        <f t="shared" si="2531"/>
        <v>0</v>
      </c>
      <c r="H3219" s="132"/>
    </row>
    <row r="3220" spans="1:8" s="290" customFormat="1" outlineLevel="2">
      <c r="A3220" s="505"/>
      <c r="B3220" s="505"/>
      <c r="C3220" s="438"/>
      <c r="D3220" s="375" t="s">
        <v>183</v>
      </c>
      <c r="E3220" s="432">
        <f>E3170+E3172+E3174+E3177+E3181+E3186+E3188+E3192+E3198+E3201+E3205+E3207+E3209+E3212+E3214+E3218</f>
        <v>270308539.31</v>
      </c>
      <c r="F3220" s="501">
        <f t="shared" si="2531"/>
        <v>297339393.24100006</v>
      </c>
      <c r="G3220" s="638">
        <f t="shared" si="2531"/>
        <v>327073332.56510007</v>
      </c>
      <c r="H3220" s="132"/>
    </row>
    <row r="3221" spans="1:8" s="290" customFormat="1" outlineLevel="2">
      <c r="A3221" s="505"/>
      <c r="B3221" s="505"/>
      <c r="C3221" s="438"/>
      <c r="D3221" s="375"/>
      <c r="E3221" s="432"/>
      <c r="F3221" s="501">
        <f t="shared" si="2531"/>
        <v>0</v>
      </c>
      <c r="G3221" s="638">
        <f t="shared" si="2531"/>
        <v>0</v>
      </c>
      <c r="H3221" s="132"/>
    </row>
    <row r="3222" spans="1:8" s="290" customFormat="1" outlineLevel="2">
      <c r="A3222" s="505"/>
      <c r="B3222" s="505"/>
      <c r="C3222" s="438"/>
      <c r="D3222" s="320" t="s">
        <v>184</v>
      </c>
      <c r="E3222" s="637"/>
      <c r="F3222" s="501">
        <f t="shared" si="2531"/>
        <v>0</v>
      </c>
      <c r="G3222" s="638">
        <f t="shared" si="2531"/>
        <v>0</v>
      </c>
      <c r="H3222" s="132"/>
    </row>
    <row r="3223" spans="1:8" s="290" customFormat="1" outlineLevel="3">
      <c r="A3223" s="320"/>
      <c r="B3223" s="320"/>
      <c r="C3223" s="438"/>
      <c r="D3223" s="505" t="s">
        <v>885</v>
      </c>
      <c r="E3223" s="639">
        <v>25000000</v>
      </c>
      <c r="F3223" s="501">
        <f t="shared" si="2531"/>
        <v>27500000.000000004</v>
      </c>
      <c r="G3223" s="638">
        <f t="shared" si="2531"/>
        <v>30250000.000000007</v>
      </c>
      <c r="H3223" s="132"/>
    </row>
    <row r="3224" spans="1:8" s="290" customFormat="1" outlineLevel="2">
      <c r="A3224" s="505"/>
      <c r="B3224" s="505"/>
      <c r="C3224" s="438"/>
      <c r="D3224" s="320" t="s">
        <v>348</v>
      </c>
      <c r="E3224" s="432">
        <f>E3223</f>
        <v>25000000</v>
      </c>
      <c r="F3224" s="501">
        <f t="shared" si="2531"/>
        <v>27500000.000000004</v>
      </c>
      <c r="G3224" s="638">
        <f t="shared" si="2531"/>
        <v>30250000.000000007</v>
      </c>
      <c r="H3224" s="132"/>
    </row>
    <row r="3225" spans="1:8" s="290" customFormat="1" outlineLevel="1">
      <c r="A3225" s="505"/>
      <c r="B3225" s="505"/>
      <c r="C3225" s="438"/>
      <c r="D3225" s="375" t="s">
        <v>808</v>
      </c>
      <c r="E3225" s="432">
        <f>E3220+E3224</f>
        <v>295308539.31</v>
      </c>
      <c r="F3225" s="501">
        <f t="shared" si="2531"/>
        <v>324839393.24100006</v>
      </c>
      <c r="G3225" s="638">
        <f t="shared" si="2531"/>
        <v>357323332.56510007</v>
      </c>
      <c r="H3225" s="132"/>
    </row>
    <row r="3226" spans="1:8" s="290" customFormat="1" outlineLevel="1">
      <c r="A3226" s="505"/>
      <c r="B3226" s="505"/>
      <c r="C3226" s="437"/>
      <c r="D3226" s="324"/>
      <c r="E3226" s="495"/>
      <c r="F3226" s="501">
        <f t="shared" si="2531"/>
        <v>0</v>
      </c>
      <c r="G3226" s="638">
        <f t="shared" si="2531"/>
        <v>0</v>
      </c>
      <c r="H3226" s="132"/>
    </row>
    <row r="3227" spans="1:8" s="290" customFormat="1" outlineLevel="1">
      <c r="A3227" s="505"/>
      <c r="B3227" s="505"/>
      <c r="C3227" s="443" t="s">
        <v>886</v>
      </c>
      <c r="D3227" s="328"/>
      <c r="E3227" s="615"/>
      <c r="F3227" s="501">
        <f t="shared" si="2531"/>
        <v>0</v>
      </c>
      <c r="G3227" s="638">
        <f t="shared" si="2531"/>
        <v>0</v>
      </c>
      <c r="H3227" s="132"/>
    </row>
    <row r="3228" spans="1:8" s="290" customFormat="1" outlineLevel="1">
      <c r="A3228" s="505"/>
      <c r="B3228" s="505"/>
      <c r="C3228" s="443" t="s">
        <v>887</v>
      </c>
      <c r="D3228" s="328"/>
      <c r="E3228" s="615"/>
      <c r="F3228" s="501">
        <f t="shared" si="2531"/>
        <v>0</v>
      </c>
      <c r="G3228" s="638">
        <f t="shared" si="2531"/>
        <v>0</v>
      </c>
      <c r="H3228" s="132"/>
    </row>
    <row r="3229" spans="1:8" s="290" customFormat="1" outlineLevel="2">
      <c r="A3229" s="505"/>
      <c r="B3229" s="505"/>
      <c r="C3229" s="441">
        <v>2110200</v>
      </c>
      <c r="D3229" s="320" t="s">
        <v>888</v>
      </c>
      <c r="E3229" s="637">
        <f>E3230</f>
        <v>0</v>
      </c>
      <c r="F3229" s="501">
        <f t="shared" si="2531"/>
        <v>0</v>
      </c>
      <c r="G3229" s="638">
        <f t="shared" si="2531"/>
        <v>0</v>
      </c>
      <c r="H3229" s="132"/>
    </row>
    <row r="3230" spans="1:8" s="290" customFormat="1" outlineLevel="2">
      <c r="A3230" s="505"/>
      <c r="B3230" s="505"/>
      <c r="C3230" s="355">
        <v>2110202</v>
      </c>
      <c r="D3230" s="505" t="s">
        <v>889</v>
      </c>
      <c r="E3230" s="639">
        <v>0</v>
      </c>
      <c r="F3230" s="501">
        <f t="shared" si="2531"/>
        <v>0</v>
      </c>
      <c r="G3230" s="638">
        <f t="shared" si="2531"/>
        <v>0</v>
      </c>
      <c r="H3230" s="132"/>
    </row>
    <row r="3231" spans="1:8" s="290" customFormat="1" outlineLevel="2">
      <c r="A3231" s="505"/>
      <c r="B3231" s="505"/>
      <c r="C3231" s="441">
        <v>2210200</v>
      </c>
      <c r="D3231" s="320" t="s">
        <v>19</v>
      </c>
      <c r="E3231" s="637">
        <f>E3232</f>
        <v>253000</v>
      </c>
      <c r="F3231" s="501">
        <f t="shared" si="2531"/>
        <v>278300</v>
      </c>
      <c r="G3231" s="638">
        <f t="shared" si="2531"/>
        <v>306130</v>
      </c>
      <c r="H3231" s="132"/>
    </row>
    <row r="3232" spans="1:8" s="290" customFormat="1" outlineLevel="2">
      <c r="A3232" s="505"/>
      <c r="B3232" s="505"/>
      <c r="C3232" s="355">
        <v>2210201</v>
      </c>
      <c r="D3232" s="505" t="s">
        <v>158</v>
      </c>
      <c r="E3232" s="639">
        <v>253000</v>
      </c>
      <c r="F3232" s="501">
        <f t="shared" si="2531"/>
        <v>278300</v>
      </c>
      <c r="G3232" s="638">
        <f t="shared" si="2531"/>
        <v>306130</v>
      </c>
      <c r="H3232" s="132"/>
    </row>
    <row r="3233" spans="1:8" s="290" customFormat="1" outlineLevel="2">
      <c r="A3233" s="505"/>
      <c r="B3233" s="505"/>
      <c r="C3233" s="441">
        <v>2210300</v>
      </c>
      <c r="D3233" s="320" t="s">
        <v>23</v>
      </c>
      <c r="E3233" s="637">
        <f>E3234+E3235+E3236+E3237+E3238</f>
        <v>18589085.992050648</v>
      </c>
      <c r="F3233" s="501">
        <f t="shared" si="2531"/>
        <v>20447994.591255713</v>
      </c>
      <c r="G3233" s="638">
        <f t="shared" si="2531"/>
        <v>22492794.050381288</v>
      </c>
      <c r="H3233" s="132"/>
    </row>
    <row r="3234" spans="1:8" s="290" customFormat="1" outlineLevel="2">
      <c r="A3234" s="505"/>
      <c r="B3234" s="505"/>
      <c r="C3234" s="355">
        <v>2210301</v>
      </c>
      <c r="D3234" s="505" t="s">
        <v>24</v>
      </c>
      <c r="E3234" s="639">
        <v>2896000</v>
      </c>
      <c r="F3234" s="501">
        <f t="shared" si="2531"/>
        <v>3185600.0000000005</v>
      </c>
      <c r="G3234" s="638">
        <f t="shared" si="2531"/>
        <v>3504160.0000000009</v>
      </c>
      <c r="H3234" s="132"/>
    </row>
    <row r="3235" spans="1:8" s="290" customFormat="1" outlineLevel="2">
      <c r="A3235" s="505"/>
      <c r="B3235" s="505"/>
      <c r="C3235" s="355">
        <v>2210302</v>
      </c>
      <c r="D3235" s="505" t="s">
        <v>25</v>
      </c>
      <c r="E3235" s="639">
        <v>1420000</v>
      </c>
      <c r="F3235" s="501">
        <f t="shared" si="2531"/>
        <v>1562000.0000000002</v>
      </c>
      <c r="G3235" s="638">
        <f t="shared" si="2531"/>
        <v>1718200.0000000005</v>
      </c>
      <c r="H3235" s="132"/>
    </row>
    <row r="3236" spans="1:8" s="290" customFormat="1" outlineLevel="2">
      <c r="A3236" s="505"/>
      <c r="B3236" s="505"/>
      <c r="C3236" s="355">
        <v>2210303</v>
      </c>
      <c r="D3236" s="505" t="s">
        <v>890</v>
      </c>
      <c r="E3236" s="639">
        <v>6269000</v>
      </c>
      <c r="F3236" s="501">
        <f t="shared" si="2531"/>
        <v>6895900.0000000009</v>
      </c>
      <c r="G3236" s="638">
        <f t="shared" si="2531"/>
        <v>7585490.0000000019</v>
      </c>
      <c r="H3236" s="132"/>
    </row>
    <row r="3237" spans="1:8" s="290" customFormat="1" outlineLevel="2">
      <c r="A3237" s="505"/>
      <c r="B3237" s="505"/>
      <c r="C3237" s="355">
        <v>2210304</v>
      </c>
      <c r="D3237" s="505" t="s">
        <v>891</v>
      </c>
      <c r="E3237" s="639">
        <v>2494085.9920506501</v>
      </c>
      <c r="F3237" s="501">
        <f t="shared" si="2531"/>
        <v>2743494.5912557151</v>
      </c>
      <c r="G3237" s="638">
        <f t="shared" si="2531"/>
        <v>3017844.050381287</v>
      </c>
      <c r="H3237" s="132"/>
    </row>
    <row r="3238" spans="1:8" s="290" customFormat="1" outlineLevel="2">
      <c r="A3238" s="505"/>
      <c r="B3238" s="505"/>
      <c r="C3238" s="355">
        <v>2210309</v>
      </c>
      <c r="D3238" s="505" t="s">
        <v>892</v>
      </c>
      <c r="E3238" s="639">
        <v>5510000</v>
      </c>
      <c r="F3238" s="501">
        <f t="shared" si="2531"/>
        <v>6061000.0000000009</v>
      </c>
      <c r="G3238" s="638">
        <f t="shared" si="2531"/>
        <v>6667100.0000000019</v>
      </c>
      <c r="H3238" s="132"/>
    </row>
    <row r="3239" spans="1:8" s="290" customFormat="1" outlineLevel="2">
      <c r="A3239" s="505"/>
      <c r="B3239" s="505"/>
      <c r="C3239" s="441">
        <v>2210500</v>
      </c>
      <c r="D3239" s="320" t="s">
        <v>30</v>
      </c>
      <c r="E3239" s="637">
        <f>E3240+E3241+E3242</f>
        <v>1728400</v>
      </c>
      <c r="F3239" s="501">
        <f t="shared" si="2531"/>
        <v>1901240.0000000002</v>
      </c>
      <c r="G3239" s="638">
        <f t="shared" si="2531"/>
        <v>2091364.0000000005</v>
      </c>
      <c r="H3239" s="132"/>
    </row>
    <row r="3240" spans="1:8" s="290" customFormat="1" outlineLevel="2">
      <c r="A3240" s="505"/>
      <c r="B3240" s="505"/>
      <c r="C3240" s="355">
        <v>2210502</v>
      </c>
      <c r="D3240" s="505" t="s">
        <v>893</v>
      </c>
      <c r="E3240" s="639">
        <f>1576000-800000</f>
        <v>776000</v>
      </c>
      <c r="F3240" s="501">
        <f t="shared" si="2531"/>
        <v>853600.00000000012</v>
      </c>
      <c r="G3240" s="638">
        <f t="shared" si="2531"/>
        <v>938960.00000000023</v>
      </c>
      <c r="H3240" s="132"/>
    </row>
    <row r="3241" spans="1:8" s="290" customFormat="1" outlineLevel="2">
      <c r="A3241" s="505"/>
      <c r="B3241" s="505"/>
      <c r="C3241" s="355">
        <v>2210503</v>
      </c>
      <c r="D3241" s="505" t="s">
        <v>31</v>
      </c>
      <c r="E3241" s="639">
        <v>96400</v>
      </c>
      <c r="F3241" s="501">
        <f t="shared" si="2531"/>
        <v>106040.00000000001</v>
      </c>
      <c r="G3241" s="638">
        <f t="shared" si="2531"/>
        <v>116644.00000000003</v>
      </c>
      <c r="H3241" s="132"/>
    </row>
    <row r="3242" spans="1:8" s="290" customFormat="1" outlineLevel="2">
      <c r="A3242" s="505"/>
      <c r="B3242" s="505"/>
      <c r="C3242" s="355">
        <v>2210504</v>
      </c>
      <c r="D3242" s="505" t="s">
        <v>894</v>
      </c>
      <c r="E3242" s="639">
        <v>856000</v>
      </c>
      <c r="F3242" s="501">
        <f t="shared" si="2531"/>
        <v>941600.00000000012</v>
      </c>
      <c r="G3242" s="638">
        <f t="shared" si="2531"/>
        <v>1035760.0000000002</v>
      </c>
      <c r="H3242" s="132"/>
    </row>
    <row r="3243" spans="1:8" s="290" customFormat="1" outlineLevel="2">
      <c r="A3243" s="505"/>
      <c r="B3243" s="505"/>
      <c r="C3243" s="441">
        <v>2210700</v>
      </c>
      <c r="D3243" s="320" t="s">
        <v>34</v>
      </c>
      <c r="E3243" s="637">
        <f>E3244+E3245+E3246</f>
        <v>5481534</v>
      </c>
      <c r="F3243" s="501">
        <f t="shared" si="2531"/>
        <v>6029687.4000000004</v>
      </c>
      <c r="G3243" s="638">
        <f t="shared" si="2531"/>
        <v>6632656.1400000006</v>
      </c>
      <c r="H3243" s="132"/>
    </row>
    <row r="3244" spans="1:8" s="290" customFormat="1" outlineLevel="2">
      <c r="A3244" s="505"/>
      <c r="B3244" s="505"/>
      <c r="C3244" s="355">
        <v>2210703</v>
      </c>
      <c r="D3244" s="505" t="s">
        <v>166</v>
      </c>
      <c r="E3244" s="639">
        <v>591685.18460000004</v>
      </c>
      <c r="F3244" s="501">
        <f t="shared" si="2531"/>
        <v>650853.70306000009</v>
      </c>
      <c r="G3244" s="638">
        <f t="shared" si="2531"/>
        <v>715939.0733660002</v>
      </c>
      <c r="H3244" s="132"/>
    </row>
    <row r="3245" spans="1:8" s="290" customFormat="1" outlineLevel="2">
      <c r="A3245" s="505"/>
      <c r="B3245" s="505"/>
      <c r="C3245" s="355">
        <v>2210704</v>
      </c>
      <c r="D3245" s="505" t="s">
        <v>37</v>
      </c>
      <c r="E3245" s="639">
        <v>290000</v>
      </c>
      <c r="F3245" s="501">
        <f t="shared" si="2531"/>
        <v>319000</v>
      </c>
      <c r="G3245" s="638">
        <f t="shared" si="2531"/>
        <v>350900</v>
      </c>
      <c r="H3245" s="132"/>
    </row>
    <row r="3246" spans="1:8" s="290" customFormat="1" outlineLevel="2">
      <c r="A3246" s="505"/>
      <c r="B3246" s="505"/>
      <c r="C3246" s="355">
        <v>2210710</v>
      </c>
      <c r="D3246" s="505" t="s">
        <v>38</v>
      </c>
      <c r="E3246" s="639">
        <v>4599848.8153999997</v>
      </c>
      <c r="F3246" s="501">
        <f t="shared" si="2531"/>
        <v>5059833.6969400002</v>
      </c>
      <c r="G3246" s="638">
        <f t="shared" si="2531"/>
        <v>5565817.0666340003</v>
      </c>
      <c r="H3246" s="132"/>
    </row>
    <row r="3247" spans="1:8" s="290" customFormat="1" outlineLevel="2">
      <c r="A3247" s="505"/>
      <c r="B3247" s="505"/>
      <c r="C3247" s="441">
        <v>2211000</v>
      </c>
      <c r="D3247" s="320" t="s">
        <v>173</v>
      </c>
      <c r="E3247" s="637">
        <f>E3248</f>
        <v>696000</v>
      </c>
      <c r="F3247" s="501">
        <f t="shared" si="2531"/>
        <v>765600.00000000012</v>
      </c>
      <c r="G3247" s="638">
        <f t="shared" si="2531"/>
        <v>842160.00000000023</v>
      </c>
      <c r="H3247" s="132"/>
    </row>
    <row r="3248" spans="1:8" s="290" customFormat="1" outlineLevel="2">
      <c r="A3248" s="505"/>
      <c r="B3248" s="505"/>
      <c r="C3248" s="355">
        <v>2211016</v>
      </c>
      <c r="D3248" s="505" t="s">
        <v>219</v>
      </c>
      <c r="E3248" s="639">
        <v>696000</v>
      </c>
      <c r="F3248" s="501">
        <f t="shared" ref="F3248:G3305" si="2532">E3248*1.1</f>
        <v>765600.00000000012</v>
      </c>
      <c r="G3248" s="638">
        <f t="shared" si="2532"/>
        <v>842160.00000000023</v>
      </c>
      <c r="H3248" s="132"/>
    </row>
    <row r="3249" spans="1:8" s="290" customFormat="1" outlineLevel="2">
      <c r="A3249" s="505"/>
      <c r="B3249" s="505"/>
      <c r="C3249" s="441">
        <v>2211100</v>
      </c>
      <c r="D3249" s="320" t="s">
        <v>49</v>
      </c>
      <c r="E3249" s="637">
        <f>E3250+E3251+E3252</f>
        <v>878000</v>
      </c>
      <c r="F3249" s="501">
        <f t="shared" si="2532"/>
        <v>965800.00000000012</v>
      </c>
      <c r="G3249" s="638">
        <f t="shared" si="2532"/>
        <v>1062380.0000000002</v>
      </c>
      <c r="H3249" s="132"/>
    </row>
    <row r="3250" spans="1:8" s="290" customFormat="1" outlineLevel="2">
      <c r="A3250" s="505"/>
      <c r="B3250" s="505"/>
      <c r="C3250" s="355">
        <v>2211101</v>
      </c>
      <c r="D3250" s="505" t="s">
        <v>87</v>
      </c>
      <c r="E3250" s="639">
        <v>261000</v>
      </c>
      <c r="F3250" s="501">
        <f t="shared" si="2532"/>
        <v>287100</v>
      </c>
      <c r="G3250" s="638">
        <f t="shared" si="2532"/>
        <v>315810</v>
      </c>
      <c r="H3250" s="132"/>
    </row>
    <row r="3251" spans="1:8" s="290" customFormat="1" outlineLevel="2">
      <c r="A3251" s="505"/>
      <c r="B3251" s="505"/>
      <c r="C3251" s="355">
        <v>2211102</v>
      </c>
      <c r="D3251" s="505" t="s">
        <v>51</v>
      </c>
      <c r="E3251" s="639">
        <v>467000</v>
      </c>
      <c r="F3251" s="501">
        <f t="shared" si="2532"/>
        <v>513700.00000000006</v>
      </c>
      <c r="G3251" s="638">
        <f t="shared" si="2532"/>
        <v>565070.00000000012</v>
      </c>
      <c r="H3251" s="132"/>
    </row>
    <row r="3252" spans="1:8" s="290" customFormat="1" outlineLevel="2">
      <c r="A3252" s="505"/>
      <c r="B3252" s="505"/>
      <c r="C3252" s="355">
        <v>2211103</v>
      </c>
      <c r="D3252" s="505" t="s">
        <v>52</v>
      </c>
      <c r="E3252" s="639">
        <v>150000</v>
      </c>
      <c r="F3252" s="501">
        <f t="shared" si="2532"/>
        <v>165000</v>
      </c>
      <c r="G3252" s="638">
        <f t="shared" si="2532"/>
        <v>181500.00000000003</v>
      </c>
      <c r="H3252" s="132"/>
    </row>
    <row r="3253" spans="1:8" s="290" customFormat="1" outlineLevel="2">
      <c r="A3253" s="505"/>
      <c r="B3253" s="505"/>
      <c r="C3253" s="441">
        <v>2211200</v>
      </c>
      <c r="D3253" s="320" t="s">
        <v>53</v>
      </c>
      <c r="E3253" s="637">
        <f>E3254</f>
        <v>2399200</v>
      </c>
      <c r="F3253" s="501">
        <f t="shared" si="2532"/>
        <v>2639120</v>
      </c>
      <c r="G3253" s="638">
        <f t="shared" si="2532"/>
        <v>2903032.0000000005</v>
      </c>
      <c r="H3253" s="132"/>
    </row>
    <row r="3254" spans="1:8" s="290" customFormat="1" outlineLevel="2">
      <c r="A3254" s="505"/>
      <c r="B3254" s="505"/>
      <c r="C3254" s="355">
        <v>2211201</v>
      </c>
      <c r="D3254" s="505" t="s">
        <v>91</v>
      </c>
      <c r="E3254" s="639">
        <f>8399200-1000000-4000000-1000000</f>
        <v>2399200</v>
      </c>
      <c r="F3254" s="501">
        <f t="shared" si="2532"/>
        <v>2639120</v>
      </c>
      <c r="G3254" s="638">
        <f t="shared" si="2532"/>
        <v>2903032.0000000005</v>
      </c>
      <c r="H3254" s="132"/>
    </row>
    <row r="3255" spans="1:8" s="290" customFormat="1" outlineLevel="2">
      <c r="A3255" s="505"/>
      <c r="B3255" s="505"/>
      <c r="C3255" s="441">
        <v>2211300</v>
      </c>
      <c r="D3255" s="320" t="s">
        <v>55</v>
      </c>
      <c r="E3255" s="637">
        <f>SUM(E3256:E3258)</f>
        <v>7575000</v>
      </c>
      <c r="F3255" s="501">
        <f t="shared" si="2532"/>
        <v>8332500.0000000009</v>
      </c>
      <c r="G3255" s="638">
        <f t="shared" si="2532"/>
        <v>9165750.0000000019</v>
      </c>
      <c r="H3255" s="132"/>
    </row>
    <row r="3256" spans="1:8" s="290" customFormat="1" outlineLevel="2">
      <c r="A3256" s="505"/>
      <c r="B3256" s="505"/>
      <c r="C3256" s="355">
        <v>2211305</v>
      </c>
      <c r="D3256" s="505" t="s">
        <v>451</v>
      </c>
      <c r="E3256" s="639">
        <v>5688000</v>
      </c>
      <c r="F3256" s="501">
        <f t="shared" si="2532"/>
        <v>6256800.0000000009</v>
      </c>
      <c r="G3256" s="638">
        <f t="shared" si="2532"/>
        <v>6882480.0000000019</v>
      </c>
      <c r="H3256" s="132"/>
    </row>
    <row r="3257" spans="1:8" s="290" customFormat="1" outlineLevel="2">
      <c r="A3257" s="505"/>
      <c r="B3257" s="505"/>
      <c r="C3257" s="355">
        <v>2211306</v>
      </c>
      <c r="D3257" s="505" t="s">
        <v>57</v>
      </c>
      <c r="E3257" s="639">
        <v>487000</v>
      </c>
      <c r="F3257" s="501">
        <f t="shared" si="2532"/>
        <v>535700</v>
      </c>
      <c r="G3257" s="638">
        <f t="shared" si="2532"/>
        <v>589270</v>
      </c>
      <c r="H3257" s="132"/>
    </row>
    <row r="3258" spans="1:8" s="290" customFormat="1" outlineLevel="2">
      <c r="A3258" s="505"/>
      <c r="B3258" s="505"/>
      <c r="C3258" s="355">
        <v>2211399</v>
      </c>
      <c r="D3258" s="505" t="s">
        <v>895</v>
      </c>
      <c r="E3258" s="639">
        <f>2900000-500000-1000000</f>
        <v>1400000</v>
      </c>
      <c r="F3258" s="501">
        <f t="shared" si="2532"/>
        <v>1540000.0000000002</v>
      </c>
      <c r="G3258" s="638">
        <f t="shared" si="2532"/>
        <v>1694000.0000000005</v>
      </c>
      <c r="H3258" s="132"/>
    </row>
    <row r="3259" spans="1:8" s="290" customFormat="1" outlineLevel="2">
      <c r="A3259" s="505"/>
      <c r="B3259" s="505"/>
      <c r="C3259" s="441">
        <v>2220100</v>
      </c>
      <c r="D3259" s="320" t="s">
        <v>61</v>
      </c>
      <c r="E3259" s="637">
        <f>E3260+E3261</f>
        <v>2494000</v>
      </c>
      <c r="F3259" s="501">
        <f t="shared" si="2532"/>
        <v>2743400</v>
      </c>
      <c r="G3259" s="638">
        <f t="shared" si="2532"/>
        <v>3017740.0000000005</v>
      </c>
      <c r="H3259" s="132"/>
    </row>
    <row r="3260" spans="1:8" s="290" customFormat="1" outlineLevel="2">
      <c r="A3260" s="505"/>
      <c r="B3260" s="505"/>
      <c r="C3260" s="355">
        <v>2220101</v>
      </c>
      <c r="D3260" s="505" t="s">
        <v>62</v>
      </c>
      <c r="E3260" s="639">
        <v>1700000</v>
      </c>
      <c r="F3260" s="501">
        <f t="shared" si="2532"/>
        <v>1870000.0000000002</v>
      </c>
      <c r="G3260" s="638">
        <f t="shared" si="2532"/>
        <v>2057000.0000000005</v>
      </c>
      <c r="H3260" s="132"/>
    </row>
    <row r="3261" spans="1:8" s="290" customFormat="1" outlineLevel="2">
      <c r="A3261" s="505"/>
      <c r="B3261" s="505"/>
      <c r="C3261" s="355">
        <v>2220105</v>
      </c>
      <c r="D3261" s="505" t="s">
        <v>64</v>
      </c>
      <c r="E3261" s="639">
        <v>794000</v>
      </c>
      <c r="F3261" s="501">
        <f t="shared" si="2532"/>
        <v>873400.00000000012</v>
      </c>
      <c r="G3261" s="638">
        <f t="shared" si="2532"/>
        <v>960740.00000000023</v>
      </c>
      <c r="H3261" s="132"/>
    </row>
    <row r="3262" spans="1:8" s="290" customFormat="1" outlineLevel="2">
      <c r="A3262" s="505"/>
      <c r="B3262" s="505"/>
      <c r="C3262" s="441">
        <v>2220200</v>
      </c>
      <c r="D3262" s="320" t="s">
        <v>114</v>
      </c>
      <c r="E3262" s="637">
        <f>E3263+E3264</f>
        <v>15690000</v>
      </c>
      <c r="F3262" s="501">
        <f t="shared" si="2532"/>
        <v>17259000</v>
      </c>
      <c r="G3262" s="638">
        <f t="shared" si="2532"/>
        <v>18984900</v>
      </c>
      <c r="H3262" s="132"/>
    </row>
    <row r="3263" spans="1:8" s="290" customFormat="1" outlineLevel="2">
      <c r="A3263" s="505"/>
      <c r="B3263" s="505"/>
      <c r="C3263" s="355">
        <v>2220202</v>
      </c>
      <c r="D3263" s="505" t="s">
        <v>63</v>
      </c>
      <c r="E3263" s="639">
        <v>690000</v>
      </c>
      <c r="F3263" s="501">
        <f t="shared" si="2532"/>
        <v>759000.00000000012</v>
      </c>
      <c r="G3263" s="638">
        <f t="shared" si="2532"/>
        <v>834900.00000000023</v>
      </c>
      <c r="H3263" s="132"/>
    </row>
    <row r="3264" spans="1:8" s="290" customFormat="1" outlineLevel="2">
      <c r="A3264" s="505"/>
      <c r="B3264" s="505"/>
      <c r="C3264" s="355">
        <v>2220210</v>
      </c>
      <c r="D3264" s="505" t="s">
        <v>181</v>
      </c>
      <c r="E3264" s="639">
        <v>15000000</v>
      </c>
      <c r="F3264" s="501">
        <f t="shared" si="2532"/>
        <v>16500000.000000002</v>
      </c>
      <c r="G3264" s="638">
        <f t="shared" si="2532"/>
        <v>18150000.000000004</v>
      </c>
      <c r="H3264" s="132"/>
    </row>
    <row r="3265" spans="1:8" s="290" customFormat="1" outlineLevel="2">
      <c r="A3265" s="505"/>
      <c r="B3265" s="505"/>
      <c r="C3265" s="441">
        <v>3111000</v>
      </c>
      <c r="D3265" s="320" t="s">
        <v>65</v>
      </c>
      <c r="E3265" s="637">
        <f>E3266</f>
        <v>1144000</v>
      </c>
      <c r="F3265" s="501">
        <f t="shared" si="2532"/>
        <v>1258400</v>
      </c>
      <c r="G3265" s="638">
        <f t="shared" si="2532"/>
        <v>1384240</v>
      </c>
      <c r="H3265" s="132"/>
    </row>
    <row r="3266" spans="1:8" s="290" customFormat="1" outlineLevel="2">
      <c r="A3266" s="505"/>
      <c r="B3266" s="505"/>
      <c r="C3266" s="355">
        <v>3111002</v>
      </c>
      <c r="D3266" s="505" t="s">
        <v>67</v>
      </c>
      <c r="E3266" s="639">
        <v>1144000</v>
      </c>
      <c r="F3266" s="501">
        <f t="shared" si="2532"/>
        <v>1258400</v>
      </c>
      <c r="G3266" s="638">
        <f t="shared" si="2532"/>
        <v>1384240</v>
      </c>
      <c r="H3266" s="132"/>
    </row>
    <row r="3267" spans="1:8" s="290" customFormat="1" outlineLevel="1">
      <c r="A3267" s="505"/>
      <c r="B3267" s="505"/>
      <c r="C3267" s="438" t="s">
        <v>183</v>
      </c>
      <c r="D3267" s="375"/>
      <c r="E3267" s="432">
        <f>E3231+E3229+E3233+E3239+E3243+E3247+E3249+E3253+E3255+E3259+E3265+E3262</f>
        <v>56928219.992050648</v>
      </c>
      <c r="F3267" s="501">
        <f t="shared" si="2532"/>
        <v>62621041.991255715</v>
      </c>
      <c r="G3267" s="638">
        <f t="shared" si="2532"/>
        <v>68883146.190381289</v>
      </c>
      <c r="H3267" s="132"/>
    </row>
    <row r="3268" spans="1:8" s="290" customFormat="1" outlineLevel="1">
      <c r="A3268" s="505"/>
      <c r="B3268" s="505"/>
      <c r="C3268" s="438"/>
      <c r="D3268" s="375" t="s">
        <v>808</v>
      </c>
      <c r="E3268" s="432">
        <f>E3267</f>
        <v>56928219.992050648</v>
      </c>
      <c r="F3268" s="501">
        <f t="shared" si="2532"/>
        <v>62621041.991255715</v>
      </c>
      <c r="G3268" s="638">
        <f t="shared" si="2532"/>
        <v>68883146.190381289</v>
      </c>
      <c r="H3268" s="132"/>
    </row>
    <row r="3269" spans="1:8" s="290" customFormat="1" outlineLevel="1">
      <c r="A3269" s="505"/>
      <c r="B3269" s="505"/>
      <c r="C3269" s="437"/>
      <c r="D3269" s="328"/>
      <c r="E3269" s="615"/>
      <c r="F3269" s="501">
        <f t="shared" si="2532"/>
        <v>0</v>
      </c>
      <c r="G3269" s="638">
        <f t="shared" si="2532"/>
        <v>0</v>
      </c>
      <c r="H3269" s="132"/>
    </row>
    <row r="3270" spans="1:8" s="290" customFormat="1" outlineLevel="1">
      <c r="A3270" s="505"/>
      <c r="B3270" s="505"/>
      <c r="C3270" s="443" t="s">
        <v>896</v>
      </c>
      <c r="D3270" s="324"/>
      <c r="E3270" s="495" t="s">
        <v>897</v>
      </c>
      <c r="F3270" s="501"/>
      <c r="G3270" s="638">
        <f t="shared" si="2532"/>
        <v>0</v>
      </c>
      <c r="H3270" s="132"/>
    </row>
    <row r="3271" spans="1:8" s="290" customFormat="1" outlineLevel="2">
      <c r="A3271" s="505"/>
      <c r="B3271" s="505"/>
      <c r="C3271" s="441">
        <v>2210200</v>
      </c>
      <c r="D3271" s="320" t="s">
        <v>19</v>
      </c>
      <c r="E3271" s="637">
        <f>E3272</f>
        <v>116000</v>
      </c>
      <c r="F3271" s="501">
        <f t="shared" si="2532"/>
        <v>127600.00000000001</v>
      </c>
      <c r="G3271" s="638">
        <f t="shared" si="2532"/>
        <v>140360.00000000003</v>
      </c>
      <c r="H3271" s="132"/>
    </row>
    <row r="3272" spans="1:8" s="290" customFormat="1" outlineLevel="2">
      <c r="A3272" s="505"/>
      <c r="B3272" s="505"/>
      <c r="C3272" s="355">
        <v>2210201</v>
      </c>
      <c r="D3272" s="505" t="s">
        <v>236</v>
      </c>
      <c r="E3272" s="639">
        <v>116000</v>
      </c>
      <c r="F3272" s="501">
        <f t="shared" si="2532"/>
        <v>127600.00000000001</v>
      </c>
      <c r="G3272" s="638">
        <f t="shared" si="2532"/>
        <v>140360.00000000003</v>
      </c>
      <c r="H3272" s="132"/>
    </row>
    <row r="3273" spans="1:8" s="290" customFormat="1" outlineLevel="2">
      <c r="A3273" s="505"/>
      <c r="B3273" s="505"/>
      <c r="C3273" s="441">
        <v>2210300</v>
      </c>
      <c r="D3273" s="320" t="s">
        <v>23</v>
      </c>
      <c r="E3273" s="637">
        <f>E3274+E3275+E3276</f>
        <v>1845000</v>
      </c>
      <c r="F3273" s="501">
        <f t="shared" si="2532"/>
        <v>2029500.0000000002</v>
      </c>
      <c r="G3273" s="638">
        <f t="shared" si="2532"/>
        <v>2232450.0000000005</v>
      </c>
      <c r="H3273" s="132"/>
    </row>
    <row r="3274" spans="1:8" s="290" customFormat="1" outlineLevel="2">
      <c r="A3274" s="505"/>
      <c r="B3274" s="505"/>
      <c r="C3274" s="355">
        <v>2210301</v>
      </c>
      <c r="D3274" s="505" t="s">
        <v>208</v>
      </c>
      <c r="E3274" s="639">
        <v>740000</v>
      </c>
      <c r="F3274" s="501">
        <f t="shared" si="2532"/>
        <v>814000.00000000012</v>
      </c>
      <c r="G3274" s="638">
        <f t="shared" si="2532"/>
        <v>895400.00000000023</v>
      </c>
      <c r="H3274" s="132"/>
    </row>
    <row r="3275" spans="1:8" s="290" customFormat="1" outlineLevel="2">
      <c r="A3275" s="505"/>
      <c r="B3275" s="505"/>
      <c r="C3275" s="355">
        <v>2210302</v>
      </c>
      <c r="D3275" s="505" t="s">
        <v>25</v>
      </c>
      <c r="E3275" s="639">
        <f>1798000-798000</f>
        <v>1000000</v>
      </c>
      <c r="F3275" s="501">
        <f t="shared" si="2532"/>
        <v>1100000</v>
      </c>
      <c r="G3275" s="638">
        <f t="shared" si="2532"/>
        <v>1210000</v>
      </c>
      <c r="H3275" s="132"/>
    </row>
    <row r="3276" spans="1:8" s="290" customFormat="1" outlineLevel="2">
      <c r="A3276" s="505"/>
      <c r="B3276" s="505"/>
      <c r="C3276" s="355">
        <v>2210304</v>
      </c>
      <c r="D3276" s="505" t="s">
        <v>898</v>
      </c>
      <c r="E3276" s="639">
        <v>105000</v>
      </c>
      <c r="F3276" s="501">
        <f t="shared" si="2532"/>
        <v>115500.00000000001</v>
      </c>
      <c r="G3276" s="638">
        <f t="shared" si="2532"/>
        <v>127050.00000000003</v>
      </c>
      <c r="H3276" s="132"/>
    </row>
    <row r="3277" spans="1:8" s="290" customFormat="1" outlineLevel="2">
      <c r="A3277" s="505"/>
      <c r="B3277" s="505"/>
      <c r="C3277" s="441">
        <v>2210500</v>
      </c>
      <c r="D3277" s="320" t="s">
        <v>30</v>
      </c>
      <c r="E3277" s="637">
        <f>E3278</f>
        <v>220400</v>
      </c>
      <c r="F3277" s="501">
        <f t="shared" si="2532"/>
        <v>242440.00000000003</v>
      </c>
      <c r="G3277" s="638">
        <f t="shared" si="2532"/>
        <v>266684.00000000006</v>
      </c>
      <c r="H3277" s="132"/>
    </row>
    <row r="3278" spans="1:8" s="290" customFormat="1" outlineLevel="2">
      <c r="A3278" s="505"/>
      <c r="B3278" s="505"/>
      <c r="C3278" s="355">
        <v>2210502</v>
      </c>
      <c r="D3278" s="505" t="s">
        <v>899</v>
      </c>
      <c r="E3278" s="639">
        <v>220400</v>
      </c>
      <c r="F3278" s="501">
        <f t="shared" si="2532"/>
        <v>242440.00000000003</v>
      </c>
      <c r="G3278" s="638">
        <f t="shared" si="2532"/>
        <v>266684.00000000006</v>
      </c>
      <c r="H3278" s="132"/>
    </row>
    <row r="3279" spans="1:8" s="290" customFormat="1" outlineLevel="2">
      <c r="A3279" s="505"/>
      <c r="B3279" s="505"/>
      <c r="C3279" s="441">
        <v>2210700</v>
      </c>
      <c r="D3279" s="320" t="s">
        <v>34</v>
      </c>
      <c r="E3279" s="637">
        <f>E3280+E3281</f>
        <v>946200</v>
      </c>
      <c r="F3279" s="501">
        <f t="shared" si="2532"/>
        <v>1040820.0000000001</v>
      </c>
      <c r="G3279" s="638">
        <f t="shared" si="2532"/>
        <v>1144902.0000000002</v>
      </c>
      <c r="H3279" s="132"/>
    </row>
    <row r="3280" spans="1:8" s="290" customFormat="1" outlineLevel="2">
      <c r="A3280" s="505"/>
      <c r="B3280" s="505"/>
      <c r="C3280" s="355">
        <v>2210701</v>
      </c>
      <c r="D3280" s="505" t="s">
        <v>35</v>
      </c>
      <c r="E3280" s="639">
        <v>656200</v>
      </c>
      <c r="F3280" s="501">
        <f t="shared" si="2532"/>
        <v>721820.00000000012</v>
      </c>
      <c r="G3280" s="638">
        <f t="shared" si="2532"/>
        <v>794002.00000000023</v>
      </c>
      <c r="H3280" s="132"/>
    </row>
    <row r="3281" spans="1:8" s="290" customFormat="1" outlineLevel="2">
      <c r="A3281" s="505"/>
      <c r="B3281" s="505"/>
      <c r="C3281" s="355">
        <v>2210710</v>
      </c>
      <c r="D3281" s="505" t="s">
        <v>38</v>
      </c>
      <c r="E3281" s="639">
        <v>290000</v>
      </c>
      <c r="F3281" s="501">
        <f t="shared" si="2532"/>
        <v>319000</v>
      </c>
      <c r="G3281" s="638">
        <f t="shared" si="2532"/>
        <v>350900</v>
      </c>
      <c r="H3281" s="132"/>
    </row>
    <row r="3282" spans="1:8" s="290" customFormat="1" outlineLevel="2">
      <c r="A3282" s="505"/>
      <c r="B3282" s="505"/>
      <c r="C3282" s="441">
        <v>2210800</v>
      </c>
      <c r="D3282" s="320" t="s">
        <v>41</v>
      </c>
      <c r="E3282" s="637">
        <f>E3283+E3284</f>
        <v>2636000</v>
      </c>
      <c r="F3282" s="501">
        <f t="shared" si="2532"/>
        <v>2899600.0000000005</v>
      </c>
      <c r="G3282" s="638">
        <f t="shared" si="2532"/>
        <v>3189560.0000000009</v>
      </c>
      <c r="H3282" s="132"/>
    </row>
    <row r="3283" spans="1:8" s="290" customFormat="1" outlineLevel="2">
      <c r="A3283" s="505"/>
      <c r="B3283" s="505"/>
      <c r="C3283" s="355">
        <v>2210801</v>
      </c>
      <c r="D3283" s="505" t="s">
        <v>240</v>
      </c>
      <c r="E3283" s="639">
        <v>606000</v>
      </c>
      <c r="F3283" s="501">
        <f t="shared" si="2532"/>
        <v>666600</v>
      </c>
      <c r="G3283" s="638">
        <f t="shared" si="2532"/>
        <v>733260.00000000012</v>
      </c>
      <c r="H3283" s="132"/>
    </row>
    <row r="3284" spans="1:8" s="290" customFormat="1" outlineLevel="2">
      <c r="A3284" s="505"/>
      <c r="B3284" s="505"/>
      <c r="C3284" s="355">
        <v>2210802</v>
      </c>
      <c r="D3284" s="505" t="s">
        <v>900</v>
      </c>
      <c r="E3284" s="639">
        <v>2030000</v>
      </c>
      <c r="F3284" s="501">
        <f t="shared" si="2532"/>
        <v>2233000</v>
      </c>
      <c r="G3284" s="638">
        <f t="shared" si="2532"/>
        <v>2456300</v>
      </c>
      <c r="H3284" s="132"/>
    </row>
    <row r="3285" spans="1:8" s="290" customFormat="1" outlineLevel="2">
      <c r="A3285" s="505"/>
      <c r="B3285" s="505"/>
      <c r="C3285" s="441">
        <v>2211100</v>
      </c>
      <c r="D3285" s="320" t="s">
        <v>49</v>
      </c>
      <c r="E3285" s="637">
        <f>E3286+E3287</f>
        <v>261000</v>
      </c>
      <c r="F3285" s="501">
        <f t="shared" si="2532"/>
        <v>287100</v>
      </c>
      <c r="G3285" s="638">
        <f t="shared" si="2532"/>
        <v>315810</v>
      </c>
      <c r="H3285" s="132"/>
    </row>
    <row r="3286" spans="1:8" s="290" customFormat="1" outlineLevel="2">
      <c r="A3286" s="505"/>
      <c r="B3286" s="505"/>
      <c r="C3286" s="355">
        <v>2211101</v>
      </c>
      <c r="D3286" s="505" t="s">
        <v>50</v>
      </c>
      <c r="E3286" s="639">
        <v>145000</v>
      </c>
      <c r="F3286" s="501">
        <f t="shared" si="2532"/>
        <v>159500</v>
      </c>
      <c r="G3286" s="638">
        <f t="shared" si="2532"/>
        <v>175450</v>
      </c>
      <c r="H3286" s="132"/>
    </row>
    <row r="3287" spans="1:8" s="290" customFormat="1" outlineLevel="2">
      <c r="A3287" s="505"/>
      <c r="B3287" s="505"/>
      <c r="C3287" s="355">
        <v>2211102</v>
      </c>
      <c r="D3287" s="505" t="s">
        <v>51</v>
      </c>
      <c r="E3287" s="639">
        <v>116000</v>
      </c>
      <c r="F3287" s="501">
        <f t="shared" si="2532"/>
        <v>127600.00000000001</v>
      </c>
      <c r="G3287" s="638">
        <f t="shared" si="2532"/>
        <v>140360.00000000003</v>
      </c>
      <c r="H3287" s="132"/>
    </row>
    <row r="3288" spans="1:8" s="290" customFormat="1" outlineLevel="2">
      <c r="A3288" s="505"/>
      <c r="B3288" s="505"/>
      <c r="C3288" s="441">
        <v>2211200</v>
      </c>
      <c r="D3288" s="320" t="s">
        <v>53</v>
      </c>
      <c r="E3288" s="637">
        <f>E3289</f>
        <v>435000</v>
      </c>
      <c r="F3288" s="501">
        <f t="shared" si="2532"/>
        <v>478500.00000000006</v>
      </c>
      <c r="G3288" s="638">
        <f t="shared" si="2532"/>
        <v>526350.00000000012</v>
      </c>
      <c r="H3288" s="132"/>
    </row>
    <row r="3289" spans="1:8" s="290" customFormat="1" outlineLevel="2">
      <c r="A3289" s="505"/>
      <c r="B3289" s="505"/>
      <c r="C3289" s="355">
        <v>2211201</v>
      </c>
      <c r="D3289" s="505" t="s">
        <v>91</v>
      </c>
      <c r="E3289" s="639">
        <v>435000</v>
      </c>
      <c r="F3289" s="501">
        <f t="shared" si="2532"/>
        <v>478500.00000000006</v>
      </c>
      <c r="G3289" s="638">
        <f t="shared" si="2532"/>
        <v>526350.00000000012</v>
      </c>
      <c r="H3289" s="132"/>
    </row>
    <row r="3290" spans="1:8" s="290" customFormat="1" outlineLevel="2">
      <c r="A3290" s="505"/>
      <c r="B3290" s="505"/>
      <c r="C3290" s="441">
        <v>2220200</v>
      </c>
      <c r="D3290" s="320" t="s">
        <v>179</v>
      </c>
      <c r="E3290" s="637">
        <f>E3291</f>
        <v>290000</v>
      </c>
      <c r="F3290" s="501">
        <f t="shared" si="2532"/>
        <v>319000</v>
      </c>
      <c r="G3290" s="638">
        <f t="shared" si="2532"/>
        <v>350900</v>
      </c>
      <c r="H3290" s="132"/>
    </row>
    <row r="3291" spans="1:8" s="290" customFormat="1" outlineLevel="2">
      <c r="A3291" s="505"/>
      <c r="B3291" s="505"/>
      <c r="C3291" s="355">
        <v>2220202</v>
      </c>
      <c r="D3291" s="505" t="s">
        <v>901</v>
      </c>
      <c r="E3291" s="639">
        <v>290000</v>
      </c>
      <c r="F3291" s="501">
        <f t="shared" si="2532"/>
        <v>319000</v>
      </c>
      <c r="G3291" s="638">
        <f t="shared" si="2532"/>
        <v>350900</v>
      </c>
      <c r="H3291" s="132"/>
    </row>
    <row r="3292" spans="1:8" s="290" customFormat="1" outlineLevel="2">
      <c r="A3292" s="505"/>
      <c r="B3292" s="505"/>
      <c r="C3292" s="441">
        <v>3111000</v>
      </c>
      <c r="D3292" s="320" t="s">
        <v>65</v>
      </c>
      <c r="E3292" s="637">
        <f>SUM(E3293:E3293)</f>
        <v>208800</v>
      </c>
      <c r="F3292" s="501">
        <f t="shared" si="2532"/>
        <v>229680.00000000003</v>
      </c>
      <c r="G3292" s="638">
        <f t="shared" si="2532"/>
        <v>252648.00000000006</v>
      </c>
      <c r="H3292" s="132"/>
    </row>
    <row r="3293" spans="1:8" s="290" customFormat="1" outlineLevel="2">
      <c r="A3293" s="505"/>
      <c r="B3293" s="505"/>
      <c r="C3293" s="355">
        <v>3111001</v>
      </c>
      <c r="D3293" s="505" t="s">
        <v>66</v>
      </c>
      <c r="E3293" s="639">
        <v>208800</v>
      </c>
      <c r="F3293" s="501">
        <f t="shared" si="2532"/>
        <v>229680.00000000003</v>
      </c>
      <c r="G3293" s="638">
        <f t="shared" si="2532"/>
        <v>252648.00000000006</v>
      </c>
      <c r="H3293" s="132"/>
    </row>
    <row r="3294" spans="1:8" s="290" customFormat="1" outlineLevel="1">
      <c r="A3294" s="505"/>
      <c r="B3294" s="505"/>
      <c r="C3294" s="438"/>
      <c r="D3294" s="375" t="s">
        <v>101</v>
      </c>
      <c r="E3294" s="432">
        <f>E3292+E3290+E3288+E3285+E3282+E3279+E3277+E3273+E3271</f>
        <v>6958400</v>
      </c>
      <c r="F3294" s="501">
        <f t="shared" si="2532"/>
        <v>7654240.0000000009</v>
      </c>
      <c r="G3294" s="638">
        <f t="shared" si="2532"/>
        <v>8419664.0000000019</v>
      </c>
      <c r="H3294" s="132"/>
    </row>
    <row r="3295" spans="1:8" s="290" customFormat="1" outlineLevel="1">
      <c r="A3295" s="505"/>
      <c r="B3295" s="505"/>
      <c r="C3295" s="438"/>
      <c r="D3295" s="375" t="s">
        <v>808</v>
      </c>
      <c r="E3295" s="432">
        <f>E3294</f>
        <v>6958400</v>
      </c>
      <c r="F3295" s="501">
        <f t="shared" si="2532"/>
        <v>7654240.0000000009</v>
      </c>
      <c r="G3295" s="638">
        <f t="shared" si="2532"/>
        <v>8419664.0000000019</v>
      </c>
      <c r="H3295" s="132"/>
    </row>
    <row r="3296" spans="1:8" s="290" customFormat="1" outlineLevel="1">
      <c r="A3296" s="505"/>
      <c r="B3296" s="505"/>
      <c r="C3296" s="437"/>
      <c r="D3296" s="328"/>
      <c r="E3296" s="495"/>
      <c r="F3296" s="501">
        <f t="shared" si="2532"/>
        <v>0</v>
      </c>
      <c r="G3296" s="638">
        <f t="shared" si="2532"/>
        <v>0</v>
      </c>
      <c r="H3296" s="132"/>
    </row>
    <row r="3297" spans="1:8" s="290" customFormat="1" outlineLevel="1">
      <c r="A3297" s="505"/>
      <c r="B3297" s="505"/>
      <c r="C3297" s="443" t="s">
        <v>902</v>
      </c>
      <c r="D3297" s="328"/>
      <c r="E3297" s="615"/>
      <c r="F3297" s="501">
        <f t="shared" si="2532"/>
        <v>0</v>
      </c>
      <c r="G3297" s="638">
        <f t="shared" si="2532"/>
        <v>0</v>
      </c>
      <c r="H3297" s="132"/>
    </row>
    <row r="3298" spans="1:8" s="290" customFormat="1" outlineLevel="2">
      <c r="A3298" s="505"/>
      <c r="B3298" s="505"/>
      <c r="C3298" s="441">
        <v>2210200</v>
      </c>
      <c r="D3298" s="320" t="s">
        <v>19</v>
      </c>
      <c r="E3298" s="637">
        <f>E3299+E3300</f>
        <v>522000</v>
      </c>
      <c r="F3298" s="501">
        <f t="shared" si="2532"/>
        <v>574200</v>
      </c>
      <c r="G3298" s="638">
        <f t="shared" si="2532"/>
        <v>631620</v>
      </c>
      <c r="H3298" s="132"/>
    </row>
    <row r="3299" spans="1:8" s="290" customFormat="1" outlineLevel="2">
      <c r="A3299" s="505"/>
      <c r="B3299" s="505"/>
      <c r="C3299" s="355">
        <v>2210201</v>
      </c>
      <c r="D3299" s="505" t="s">
        <v>158</v>
      </c>
      <c r="E3299" s="639">
        <v>232000</v>
      </c>
      <c r="F3299" s="501">
        <f t="shared" si="2532"/>
        <v>255200.00000000003</v>
      </c>
      <c r="G3299" s="638">
        <f t="shared" si="2532"/>
        <v>280720.00000000006</v>
      </c>
      <c r="H3299" s="132"/>
    </row>
    <row r="3300" spans="1:8" s="290" customFormat="1" outlineLevel="2">
      <c r="A3300" s="505"/>
      <c r="B3300" s="505"/>
      <c r="C3300" s="355">
        <v>2210202</v>
      </c>
      <c r="D3300" s="505" t="s">
        <v>21</v>
      </c>
      <c r="E3300" s="639">
        <v>290000</v>
      </c>
      <c r="F3300" s="501">
        <f t="shared" si="2532"/>
        <v>319000</v>
      </c>
      <c r="G3300" s="638">
        <f t="shared" si="2532"/>
        <v>350900</v>
      </c>
      <c r="H3300" s="132"/>
    </row>
    <row r="3301" spans="1:8" s="290" customFormat="1" outlineLevel="2">
      <c r="A3301" s="505"/>
      <c r="B3301" s="505"/>
      <c r="C3301" s="441">
        <v>2210300</v>
      </c>
      <c r="D3301" s="320" t="s">
        <v>23</v>
      </c>
      <c r="E3301" s="637">
        <f>E3302+E3303+E3304+E3305</f>
        <v>2102000</v>
      </c>
      <c r="F3301" s="501">
        <f t="shared" si="2532"/>
        <v>2312200</v>
      </c>
      <c r="G3301" s="638">
        <f t="shared" si="2532"/>
        <v>2543420</v>
      </c>
      <c r="H3301" s="132"/>
    </row>
    <row r="3302" spans="1:8" s="290" customFormat="1" outlineLevel="2">
      <c r="A3302" s="505"/>
      <c r="B3302" s="505"/>
      <c r="C3302" s="355">
        <v>2210301</v>
      </c>
      <c r="D3302" s="505" t="s">
        <v>24</v>
      </c>
      <c r="E3302" s="639">
        <f>1038000-500000</f>
        <v>538000</v>
      </c>
      <c r="F3302" s="501">
        <f t="shared" si="2532"/>
        <v>591800</v>
      </c>
      <c r="G3302" s="638">
        <f t="shared" si="2532"/>
        <v>650980</v>
      </c>
      <c r="H3302" s="132"/>
    </row>
    <row r="3303" spans="1:8" s="290" customFormat="1" outlineLevel="2">
      <c r="A3303" s="505"/>
      <c r="B3303" s="505"/>
      <c r="C3303" s="355">
        <v>2210302</v>
      </c>
      <c r="D3303" s="505" t="s">
        <v>25</v>
      </c>
      <c r="E3303" s="639">
        <f>2262000-500000-500000-500000</f>
        <v>762000</v>
      </c>
      <c r="F3303" s="501">
        <f t="shared" si="2532"/>
        <v>838200.00000000012</v>
      </c>
      <c r="G3303" s="638">
        <f t="shared" si="2532"/>
        <v>922020.00000000023</v>
      </c>
      <c r="H3303" s="132"/>
    </row>
    <row r="3304" spans="1:8" s="290" customFormat="1" outlineLevel="2">
      <c r="A3304" s="505"/>
      <c r="B3304" s="505"/>
      <c r="C3304" s="355">
        <v>2210303</v>
      </c>
      <c r="D3304" s="505" t="s">
        <v>26</v>
      </c>
      <c r="E3304" s="639">
        <f>1541000-500000-500000</f>
        <v>541000</v>
      </c>
      <c r="F3304" s="501">
        <f t="shared" si="2532"/>
        <v>595100</v>
      </c>
      <c r="G3304" s="638">
        <f t="shared" si="2532"/>
        <v>654610</v>
      </c>
      <c r="H3304" s="132"/>
    </row>
    <row r="3305" spans="1:8" s="290" customFormat="1" outlineLevel="2">
      <c r="A3305" s="505"/>
      <c r="B3305" s="505"/>
      <c r="C3305" s="355">
        <v>2210304</v>
      </c>
      <c r="D3305" s="505" t="s">
        <v>27</v>
      </c>
      <c r="E3305" s="639">
        <v>261000</v>
      </c>
      <c r="F3305" s="501">
        <f t="shared" si="2532"/>
        <v>287100</v>
      </c>
      <c r="G3305" s="638">
        <f t="shared" si="2532"/>
        <v>315810</v>
      </c>
      <c r="H3305" s="132"/>
    </row>
    <row r="3306" spans="1:8" s="290" customFormat="1" outlineLevel="2">
      <c r="A3306" s="505"/>
      <c r="B3306" s="505"/>
      <c r="C3306" s="441">
        <v>2210500</v>
      </c>
      <c r="D3306" s="320" t="s">
        <v>30</v>
      </c>
      <c r="E3306" s="637">
        <f>E3307+E3308+E3309</f>
        <v>1377400</v>
      </c>
      <c r="F3306" s="501">
        <f t="shared" ref="F3306:G3365" si="2533">E3306*1.1</f>
        <v>1515140.0000000002</v>
      </c>
      <c r="G3306" s="638">
        <f t="shared" si="2533"/>
        <v>1666654.0000000005</v>
      </c>
      <c r="H3306" s="132"/>
    </row>
    <row r="3307" spans="1:8" s="290" customFormat="1" outlineLevel="2">
      <c r="A3307" s="505"/>
      <c r="B3307" s="505"/>
      <c r="C3307" s="355">
        <v>2210502</v>
      </c>
      <c r="D3307" s="505" t="s">
        <v>162</v>
      </c>
      <c r="E3307" s="639">
        <v>652400</v>
      </c>
      <c r="F3307" s="501">
        <f t="shared" si="2533"/>
        <v>717640</v>
      </c>
      <c r="G3307" s="638">
        <f t="shared" si="2533"/>
        <v>789404.00000000012</v>
      </c>
      <c r="H3307" s="132"/>
    </row>
    <row r="3308" spans="1:8" s="290" customFormat="1" outlineLevel="2">
      <c r="A3308" s="505"/>
      <c r="B3308" s="505"/>
      <c r="C3308" s="355">
        <v>2210503</v>
      </c>
      <c r="D3308" s="505" t="s">
        <v>31</v>
      </c>
      <c r="E3308" s="639">
        <v>232000</v>
      </c>
      <c r="F3308" s="501">
        <f t="shared" si="2533"/>
        <v>255200.00000000003</v>
      </c>
      <c r="G3308" s="638">
        <f t="shared" si="2533"/>
        <v>280720.00000000006</v>
      </c>
      <c r="H3308" s="132"/>
    </row>
    <row r="3309" spans="1:8" s="290" customFormat="1" outlineLevel="2">
      <c r="A3309" s="505"/>
      <c r="B3309" s="505"/>
      <c r="C3309" s="355">
        <v>2210504</v>
      </c>
      <c r="D3309" s="505" t="s">
        <v>32</v>
      </c>
      <c r="E3309" s="639">
        <v>493000</v>
      </c>
      <c r="F3309" s="501">
        <f t="shared" si="2533"/>
        <v>542300</v>
      </c>
      <c r="G3309" s="638">
        <f t="shared" si="2533"/>
        <v>596530</v>
      </c>
      <c r="H3309" s="132"/>
    </row>
    <row r="3310" spans="1:8" s="290" customFormat="1" outlineLevel="2">
      <c r="A3310" s="505"/>
      <c r="B3310" s="505"/>
      <c r="C3310" s="441">
        <v>2210700</v>
      </c>
      <c r="D3310" s="320" t="s">
        <v>34</v>
      </c>
      <c r="E3310" s="637">
        <f>E3311+E3312+E3313</f>
        <v>1912000</v>
      </c>
      <c r="F3310" s="501">
        <f t="shared" si="2533"/>
        <v>2103200</v>
      </c>
      <c r="G3310" s="638">
        <f t="shared" si="2533"/>
        <v>2313520</v>
      </c>
      <c r="H3310" s="132"/>
    </row>
    <row r="3311" spans="1:8" s="290" customFormat="1" outlineLevel="2">
      <c r="A3311" s="505"/>
      <c r="B3311" s="505"/>
      <c r="C3311" s="355">
        <v>2210704</v>
      </c>
      <c r="D3311" s="505" t="s">
        <v>37</v>
      </c>
      <c r="E3311" s="639">
        <v>661000</v>
      </c>
      <c r="F3311" s="501">
        <f t="shared" si="2533"/>
        <v>727100.00000000012</v>
      </c>
      <c r="G3311" s="638">
        <f t="shared" si="2533"/>
        <v>799810.00000000023</v>
      </c>
      <c r="H3311" s="132"/>
    </row>
    <row r="3312" spans="1:8" s="290" customFormat="1" outlineLevel="2">
      <c r="A3312" s="505"/>
      <c r="B3312" s="505"/>
      <c r="C3312" s="355" t="s">
        <v>903</v>
      </c>
      <c r="D3312" s="505" t="s">
        <v>38</v>
      </c>
      <c r="E3312" s="639">
        <f>2011000-500000-1000000</f>
        <v>511000</v>
      </c>
      <c r="F3312" s="501">
        <f t="shared" si="2533"/>
        <v>562100</v>
      </c>
      <c r="G3312" s="638">
        <f t="shared" si="2533"/>
        <v>618310</v>
      </c>
      <c r="H3312" s="132"/>
    </row>
    <row r="3313" spans="1:8" s="290" customFormat="1" outlineLevel="2">
      <c r="A3313" s="505"/>
      <c r="B3313" s="505"/>
      <c r="C3313" s="355" t="s">
        <v>904</v>
      </c>
      <c r="D3313" s="505" t="s">
        <v>332</v>
      </c>
      <c r="E3313" s="639">
        <f>1740000-500000-500000</f>
        <v>740000</v>
      </c>
      <c r="F3313" s="501">
        <f t="shared" si="2533"/>
        <v>814000.00000000012</v>
      </c>
      <c r="G3313" s="638">
        <f t="shared" si="2533"/>
        <v>895400.00000000023</v>
      </c>
      <c r="H3313" s="132"/>
    </row>
    <row r="3314" spans="1:8" s="290" customFormat="1" outlineLevel="2">
      <c r="A3314" s="505"/>
      <c r="B3314" s="505"/>
      <c r="C3314" s="441">
        <v>2210800</v>
      </c>
      <c r="D3314" s="320" t="s">
        <v>41</v>
      </c>
      <c r="E3314" s="637">
        <f>E3315+E3316</f>
        <v>1000910</v>
      </c>
      <c r="F3314" s="501">
        <f t="shared" si="2533"/>
        <v>1101001</v>
      </c>
      <c r="G3314" s="638">
        <f t="shared" si="2533"/>
        <v>1211101.1000000001</v>
      </c>
      <c r="H3314" s="132"/>
    </row>
    <row r="3315" spans="1:8" s="290" customFormat="1" outlineLevel="2">
      <c r="A3315" s="505"/>
      <c r="B3315" s="505"/>
      <c r="C3315" s="355">
        <v>2210801</v>
      </c>
      <c r="D3315" s="505" t="s">
        <v>240</v>
      </c>
      <c r="E3315" s="639">
        <v>459910</v>
      </c>
      <c r="F3315" s="501">
        <f t="shared" si="2533"/>
        <v>505901.00000000006</v>
      </c>
      <c r="G3315" s="638">
        <f t="shared" si="2533"/>
        <v>556491.10000000009</v>
      </c>
      <c r="H3315" s="132"/>
    </row>
    <row r="3316" spans="1:8" s="290" customFormat="1" outlineLevel="2">
      <c r="A3316" s="505"/>
      <c r="B3316" s="505"/>
      <c r="C3316" s="355">
        <v>2210802</v>
      </c>
      <c r="D3316" s="505" t="s">
        <v>86</v>
      </c>
      <c r="E3316" s="639">
        <f>1041000-500000</f>
        <v>541000</v>
      </c>
      <c r="F3316" s="501">
        <f t="shared" si="2533"/>
        <v>595100</v>
      </c>
      <c r="G3316" s="638">
        <f t="shared" si="2533"/>
        <v>654610</v>
      </c>
      <c r="H3316" s="132"/>
    </row>
    <row r="3317" spans="1:8" s="290" customFormat="1" outlineLevel="2">
      <c r="A3317" s="505"/>
      <c r="B3317" s="505"/>
      <c r="C3317" s="441">
        <v>2211100</v>
      </c>
      <c r="D3317" s="320" t="s">
        <v>49</v>
      </c>
      <c r="E3317" s="637">
        <f>E3318+E3319+E3320</f>
        <v>1164217</v>
      </c>
      <c r="F3317" s="501">
        <f t="shared" si="2533"/>
        <v>1280638.7000000002</v>
      </c>
      <c r="G3317" s="638">
        <f t="shared" si="2533"/>
        <v>1408702.5700000003</v>
      </c>
      <c r="H3317" s="132"/>
    </row>
    <row r="3318" spans="1:8" s="290" customFormat="1" outlineLevel="2">
      <c r="A3318" s="505"/>
      <c r="B3318" s="505"/>
      <c r="C3318" s="355">
        <v>2211101</v>
      </c>
      <c r="D3318" s="505" t="s">
        <v>722</v>
      </c>
      <c r="E3318" s="639">
        <f>986000-500000</f>
        <v>486000</v>
      </c>
      <c r="F3318" s="501">
        <f t="shared" si="2533"/>
        <v>534600</v>
      </c>
      <c r="G3318" s="638">
        <f t="shared" si="2533"/>
        <v>588060</v>
      </c>
      <c r="H3318" s="132"/>
    </row>
    <row r="3319" spans="1:8" s="290" customFormat="1" outlineLevel="2">
      <c r="A3319" s="505"/>
      <c r="B3319" s="505"/>
      <c r="C3319" s="355">
        <v>2211102</v>
      </c>
      <c r="D3319" s="505" t="s">
        <v>51</v>
      </c>
      <c r="E3319" s="639">
        <f>851000-500000</f>
        <v>351000</v>
      </c>
      <c r="F3319" s="501">
        <f t="shared" si="2533"/>
        <v>386100.00000000006</v>
      </c>
      <c r="G3319" s="638">
        <f t="shared" si="2533"/>
        <v>424710.00000000012</v>
      </c>
      <c r="H3319" s="132"/>
    </row>
    <row r="3320" spans="1:8" s="290" customFormat="1" outlineLevel="2">
      <c r="A3320" s="505"/>
      <c r="B3320" s="505"/>
      <c r="C3320" s="355">
        <v>2211103</v>
      </c>
      <c r="D3320" s="505" t="s">
        <v>52</v>
      </c>
      <c r="E3320" s="639">
        <v>327217</v>
      </c>
      <c r="F3320" s="501">
        <f t="shared" si="2533"/>
        <v>359938.7</v>
      </c>
      <c r="G3320" s="638">
        <f t="shared" si="2533"/>
        <v>395932.57000000007</v>
      </c>
      <c r="H3320" s="132"/>
    </row>
    <row r="3321" spans="1:8" s="290" customFormat="1" outlineLevel="2">
      <c r="A3321" s="505"/>
      <c r="B3321" s="505"/>
      <c r="C3321" s="441">
        <v>2211200</v>
      </c>
      <c r="D3321" s="320" t="s">
        <v>53</v>
      </c>
      <c r="E3321" s="637">
        <f>E3322+E3323</f>
        <v>1764000</v>
      </c>
      <c r="F3321" s="501">
        <f t="shared" si="2533"/>
        <v>1940400.0000000002</v>
      </c>
      <c r="G3321" s="638">
        <f t="shared" si="2533"/>
        <v>2134440.0000000005</v>
      </c>
      <c r="H3321" s="132"/>
    </row>
    <row r="3322" spans="1:8" s="290" customFormat="1" outlineLevel="2">
      <c r="A3322" s="505"/>
      <c r="B3322" s="505"/>
      <c r="C3322" s="355">
        <v>2211201</v>
      </c>
      <c r="D3322" s="505" t="s">
        <v>91</v>
      </c>
      <c r="E3322" s="639">
        <v>964000</v>
      </c>
      <c r="F3322" s="501">
        <f t="shared" si="2533"/>
        <v>1060400</v>
      </c>
      <c r="G3322" s="638">
        <f t="shared" si="2533"/>
        <v>1166440</v>
      </c>
      <c r="H3322" s="132"/>
    </row>
    <row r="3323" spans="1:8" s="290" customFormat="1" outlineLevel="2">
      <c r="A3323" s="505"/>
      <c r="B3323" s="505"/>
      <c r="C3323" s="355">
        <v>2211203</v>
      </c>
      <c r="D3323" s="505" t="s">
        <v>905</v>
      </c>
      <c r="E3323" s="639">
        <v>800000</v>
      </c>
      <c r="F3323" s="501">
        <f t="shared" si="2533"/>
        <v>880000.00000000012</v>
      </c>
      <c r="G3323" s="638">
        <f t="shared" si="2533"/>
        <v>968000.00000000023</v>
      </c>
      <c r="H3323" s="132"/>
    </row>
    <row r="3324" spans="1:8" s="290" customFormat="1" outlineLevel="2">
      <c r="A3324" s="505"/>
      <c r="B3324" s="505"/>
      <c r="C3324" s="441">
        <v>2211300</v>
      </c>
      <c r="D3324" s="320" t="s">
        <v>55</v>
      </c>
      <c r="E3324" s="637">
        <f>E3325+E3326+E3327</f>
        <v>1184837.9973708102</v>
      </c>
      <c r="F3324" s="501">
        <f t="shared" si="2533"/>
        <v>1303321.7971078914</v>
      </c>
      <c r="G3324" s="638">
        <f t="shared" si="2533"/>
        <v>1433653.9768186808</v>
      </c>
      <c r="H3324" s="132"/>
    </row>
    <row r="3325" spans="1:8" s="290" customFormat="1" outlineLevel="2">
      <c r="A3325" s="505"/>
      <c r="B3325" s="505"/>
      <c r="C3325" s="355">
        <v>2211306</v>
      </c>
      <c r="D3325" s="505" t="s">
        <v>57</v>
      </c>
      <c r="E3325" s="639">
        <v>623100</v>
      </c>
      <c r="F3325" s="501">
        <f t="shared" si="2533"/>
        <v>685410</v>
      </c>
      <c r="G3325" s="638">
        <f t="shared" si="2533"/>
        <v>753951.00000000012</v>
      </c>
      <c r="H3325" s="132"/>
    </row>
    <row r="3326" spans="1:8" s="290" customFormat="1" outlineLevel="2">
      <c r="A3326" s="505"/>
      <c r="B3326" s="505"/>
      <c r="C3326" s="355">
        <v>2211320</v>
      </c>
      <c r="D3326" s="505" t="s">
        <v>906</v>
      </c>
      <c r="E3326" s="639">
        <v>10737.997370810201</v>
      </c>
      <c r="F3326" s="501">
        <f t="shared" si="2533"/>
        <v>11811.797107891221</v>
      </c>
      <c r="G3326" s="638">
        <f t="shared" si="2533"/>
        <v>12992.976818680345</v>
      </c>
      <c r="H3326" s="132"/>
    </row>
    <row r="3327" spans="1:8" s="290" customFormat="1" outlineLevel="2">
      <c r="A3327" s="505"/>
      <c r="B3327" s="505"/>
      <c r="C3327" s="355">
        <v>2211399</v>
      </c>
      <c r="D3327" s="505" t="s">
        <v>907</v>
      </c>
      <c r="E3327" s="639">
        <v>551000</v>
      </c>
      <c r="F3327" s="501">
        <f t="shared" si="2533"/>
        <v>606100</v>
      </c>
      <c r="G3327" s="638">
        <f t="shared" si="2533"/>
        <v>666710</v>
      </c>
      <c r="H3327" s="132"/>
    </row>
    <row r="3328" spans="1:8" s="290" customFormat="1" outlineLevel="2">
      <c r="A3328" s="505"/>
      <c r="B3328" s="505"/>
      <c r="C3328" s="441">
        <v>2220100</v>
      </c>
      <c r="D3328" s="320" t="s">
        <v>61</v>
      </c>
      <c r="E3328" s="637">
        <f>E3329</f>
        <v>928000</v>
      </c>
      <c r="F3328" s="501">
        <f t="shared" si="2533"/>
        <v>1020800.0000000001</v>
      </c>
      <c r="G3328" s="638">
        <f t="shared" si="2533"/>
        <v>1122880.0000000002</v>
      </c>
      <c r="H3328" s="132"/>
    </row>
    <row r="3329" spans="1:8" s="290" customFormat="1" outlineLevel="2">
      <c r="A3329" s="505"/>
      <c r="B3329" s="505"/>
      <c r="C3329" s="355">
        <v>2220101</v>
      </c>
      <c r="D3329" s="505" t="s">
        <v>62</v>
      </c>
      <c r="E3329" s="639">
        <v>928000</v>
      </c>
      <c r="F3329" s="501">
        <f t="shared" si="2533"/>
        <v>1020800.0000000001</v>
      </c>
      <c r="G3329" s="638">
        <f t="shared" si="2533"/>
        <v>1122880.0000000002</v>
      </c>
      <c r="H3329" s="132"/>
    </row>
    <row r="3330" spans="1:8" s="290" customFormat="1" outlineLevel="2">
      <c r="A3330" s="505"/>
      <c r="B3330" s="505"/>
      <c r="C3330" s="441">
        <v>2220200</v>
      </c>
      <c r="D3330" s="320" t="s">
        <v>114</v>
      </c>
      <c r="E3330" s="637">
        <f>E3331+E3332+E3333</f>
        <v>996000</v>
      </c>
      <c r="F3330" s="501">
        <f t="shared" si="2533"/>
        <v>1095600</v>
      </c>
      <c r="G3330" s="638">
        <f t="shared" si="2533"/>
        <v>1205160</v>
      </c>
      <c r="H3330" s="132"/>
    </row>
    <row r="3331" spans="1:8" s="290" customFormat="1" outlineLevel="2">
      <c r="A3331" s="505"/>
      <c r="B3331" s="505"/>
      <c r="C3331" s="355">
        <v>2220202</v>
      </c>
      <c r="D3331" s="505" t="s">
        <v>63</v>
      </c>
      <c r="E3331" s="639">
        <v>203000</v>
      </c>
      <c r="F3331" s="501">
        <f t="shared" si="2533"/>
        <v>223300.00000000003</v>
      </c>
      <c r="G3331" s="638">
        <f t="shared" si="2533"/>
        <v>245630.00000000006</v>
      </c>
      <c r="H3331" s="132"/>
    </row>
    <row r="3332" spans="1:8" s="290" customFormat="1" outlineLevel="2">
      <c r="A3332" s="505"/>
      <c r="B3332" s="505"/>
      <c r="C3332" s="355">
        <v>2220210</v>
      </c>
      <c r="D3332" s="505" t="s">
        <v>181</v>
      </c>
      <c r="E3332" s="639">
        <v>319000</v>
      </c>
      <c r="F3332" s="501">
        <f t="shared" si="2533"/>
        <v>350900</v>
      </c>
      <c r="G3332" s="638">
        <f t="shared" si="2533"/>
        <v>385990.00000000006</v>
      </c>
      <c r="H3332" s="132"/>
    </row>
    <row r="3333" spans="1:8" s="290" customFormat="1" outlineLevel="2">
      <c r="A3333" s="505"/>
      <c r="B3333" s="505"/>
      <c r="C3333" s="355">
        <v>2220299</v>
      </c>
      <c r="D3333" s="505" t="s">
        <v>179</v>
      </c>
      <c r="E3333" s="639">
        <v>474000</v>
      </c>
      <c r="F3333" s="501">
        <f t="shared" si="2533"/>
        <v>521400.00000000006</v>
      </c>
      <c r="G3333" s="638">
        <f t="shared" si="2533"/>
        <v>573540.00000000012</v>
      </c>
      <c r="H3333" s="132"/>
    </row>
    <row r="3334" spans="1:8" s="290" customFormat="1" outlineLevel="2">
      <c r="A3334" s="505"/>
      <c r="B3334" s="505"/>
      <c r="C3334" s="441">
        <v>3111000</v>
      </c>
      <c r="D3334" s="320" t="s">
        <v>65</v>
      </c>
      <c r="E3334" s="637">
        <f>E3335+E3336</f>
        <v>1033990</v>
      </c>
      <c r="F3334" s="501">
        <f t="shared" si="2533"/>
        <v>1137389</v>
      </c>
      <c r="G3334" s="638">
        <f t="shared" si="2533"/>
        <v>1251127.9000000001</v>
      </c>
      <c r="H3334" s="132"/>
    </row>
    <row r="3335" spans="1:8" s="290" customFormat="1" outlineLevel="2">
      <c r="A3335" s="505"/>
      <c r="B3335" s="505"/>
      <c r="C3335" s="355">
        <v>3111001</v>
      </c>
      <c r="D3335" s="505" t="s">
        <v>66</v>
      </c>
      <c r="E3335" s="639">
        <f>687900-300000</f>
        <v>387900</v>
      </c>
      <c r="F3335" s="501">
        <f t="shared" si="2533"/>
        <v>426690.00000000006</v>
      </c>
      <c r="G3335" s="638">
        <f t="shared" si="2533"/>
        <v>469359.00000000012</v>
      </c>
      <c r="H3335" s="132"/>
    </row>
    <row r="3336" spans="1:8" s="290" customFormat="1" outlineLevel="2">
      <c r="A3336" s="505"/>
      <c r="B3336" s="505"/>
      <c r="C3336" s="355">
        <v>3111002</v>
      </c>
      <c r="D3336" s="505" t="s">
        <v>67</v>
      </c>
      <c r="E3336" s="639">
        <v>646090</v>
      </c>
      <c r="F3336" s="501">
        <f t="shared" si="2533"/>
        <v>710699</v>
      </c>
      <c r="G3336" s="638">
        <f t="shared" si="2533"/>
        <v>781768.9</v>
      </c>
      <c r="H3336" s="132"/>
    </row>
    <row r="3337" spans="1:8" s="290" customFormat="1" outlineLevel="1">
      <c r="A3337" s="505"/>
      <c r="B3337" s="505"/>
      <c r="C3337" s="438"/>
      <c r="D3337" s="375" t="s">
        <v>908</v>
      </c>
      <c r="E3337" s="432">
        <f>E3334+E3330+E3328+E3324+E3321+E3314+E3317+E3310+E3306+E3301+E3298</f>
        <v>13985354.997370809</v>
      </c>
      <c r="F3337" s="501">
        <f t="shared" si="2533"/>
        <v>15383890.497107891</v>
      </c>
      <c r="G3337" s="638">
        <f t="shared" si="2533"/>
        <v>16922279.546818681</v>
      </c>
      <c r="H3337" s="132"/>
    </row>
    <row r="3338" spans="1:8" s="290" customFormat="1" outlineLevel="1">
      <c r="A3338" s="505"/>
      <c r="B3338" s="505"/>
      <c r="C3338" s="437"/>
      <c r="D3338" s="328"/>
      <c r="E3338" s="495"/>
      <c r="F3338" s="501">
        <f t="shared" si="2533"/>
        <v>0</v>
      </c>
      <c r="G3338" s="638">
        <f t="shared" si="2533"/>
        <v>0</v>
      </c>
      <c r="H3338" s="132"/>
    </row>
    <row r="3339" spans="1:8" s="290" customFormat="1" outlineLevel="1">
      <c r="A3339" s="505"/>
      <c r="B3339" s="505"/>
      <c r="C3339" s="443" t="s">
        <v>909</v>
      </c>
      <c r="D3339" s="328"/>
      <c r="E3339" s="615"/>
      <c r="F3339" s="501">
        <f t="shared" si="2533"/>
        <v>0</v>
      </c>
      <c r="G3339" s="638">
        <f t="shared" si="2533"/>
        <v>0</v>
      </c>
      <c r="H3339" s="132"/>
    </row>
    <row r="3340" spans="1:8" s="290" customFormat="1" outlineLevel="1">
      <c r="A3340" s="505"/>
      <c r="B3340" s="505"/>
      <c r="C3340" s="443" t="s">
        <v>910</v>
      </c>
      <c r="D3340" s="328"/>
      <c r="E3340" s="615"/>
      <c r="F3340" s="501">
        <f t="shared" si="2533"/>
        <v>0</v>
      </c>
      <c r="G3340" s="638">
        <f t="shared" si="2533"/>
        <v>0</v>
      </c>
      <c r="H3340" s="132"/>
    </row>
    <row r="3341" spans="1:8" s="290" customFormat="1" outlineLevel="2">
      <c r="A3341" s="505"/>
      <c r="B3341" s="505"/>
      <c r="C3341" s="441">
        <v>2210200</v>
      </c>
      <c r="D3341" s="320" t="s">
        <v>19</v>
      </c>
      <c r="E3341" s="637">
        <f>E3342</f>
        <v>332000</v>
      </c>
      <c r="F3341" s="501">
        <f t="shared" si="2533"/>
        <v>365200.00000000006</v>
      </c>
      <c r="G3341" s="638">
        <f t="shared" si="2533"/>
        <v>401720.00000000012</v>
      </c>
      <c r="H3341" s="132"/>
    </row>
    <row r="3342" spans="1:8" s="290" customFormat="1" outlineLevel="2">
      <c r="A3342" s="505"/>
      <c r="B3342" s="505"/>
      <c r="C3342" s="355">
        <v>2210201</v>
      </c>
      <c r="D3342" s="505" t="s">
        <v>20</v>
      </c>
      <c r="E3342" s="639">
        <v>332000</v>
      </c>
      <c r="F3342" s="501">
        <f t="shared" si="2533"/>
        <v>365200.00000000006</v>
      </c>
      <c r="G3342" s="638">
        <f t="shared" si="2533"/>
        <v>401720.00000000012</v>
      </c>
      <c r="H3342" s="132"/>
    </row>
    <row r="3343" spans="1:8" s="290" customFormat="1" outlineLevel="2">
      <c r="A3343" s="505"/>
      <c r="B3343" s="505"/>
      <c r="C3343" s="441">
        <v>2210300</v>
      </c>
      <c r="D3343" s="320" t="s">
        <v>23</v>
      </c>
      <c r="E3343" s="637">
        <f>E3344+E3345+E3346</f>
        <v>1664000</v>
      </c>
      <c r="F3343" s="501">
        <f t="shared" si="2533"/>
        <v>1830400.0000000002</v>
      </c>
      <c r="G3343" s="638">
        <f t="shared" si="2533"/>
        <v>2013440.0000000005</v>
      </c>
      <c r="H3343" s="132"/>
    </row>
    <row r="3344" spans="1:8" s="290" customFormat="1" outlineLevel="2">
      <c r="A3344" s="505"/>
      <c r="B3344" s="505"/>
      <c r="C3344" s="355">
        <v>2210301</v>
      </c>
      <c r="D3344" s="505" t="s">
        <v>24</v>
      </c>
      <c r="E3344" s="639">
        <v>764000</v>
      </c>
      <c r="F3344" s="501">
        <f t="shared" si="2533"/>
        <v>840400.00000000012</v>
      </c>
      <c r="G3344" s="638">
        <f t="shared" si="2533"/>
        <v>924440.00000000023</v>
      </c>
      <c r="H3344" s="132"/>
    </row>
    <row r="3345" spans="1:8" s="290" customFormat="1" outlineLevel="2">
      <c r="A3345" s="505"/>
      <c r="B3345" s="505"/>
      <c r="C3345" s="355">
        <v>2210302</v>
      </c>
      <c r="D3345" s="505" t="s">
        <v>25</v>
      </c>
      <c r="E3345" s="639">
        <v>856000</v>
      </c>
      <c r="F3345" s="501">
        <f t="shared" si="2533"/>
        <v>941600.00000000012</v>
      </c>
      <c r="G3345" s="638">
        <f t="shared" si="2533"/>
        <v>1035760.0000000002</v>
      </c>
      <c r="H3345" s="132"/>
    </row>
    <row r="3346" spans="1:8" s="290" customFormat="1" outlineLevel="2">
      <c r="A3346" s="505"/>
      <c r="B3346" s="505"/>
      <c r="C3346" s="355">
        <v>2210303</v>
      </c>
      <c r="D3346" s="505" t="s">
        <v>26</v>
      </c>
      <c r="E3346" s="639">
        <f>1044000-1000000</f>
        <v>44000</v>
      </c>
      <c r="F3346" s="501">
        <f t="shared" si="2533"/>
        <v>48400.000000000007</v>
      </c>
      <c r="G3346" s="638">
        <f t="shared" si="2533"/>
        <v>53240.000000000015</v>
      </c>
      <c r="H3346" s="132"/>
    </row>
    <row r="3347" spans="1:8" s="290" customFormat="1" outlineLevel="2">
      <c r="A3347" s="505"/>
      <c r="B3347" s="505"/>
      <c r="C3347" s="441">
        <v>2210500</v>
      </c>
      <c r="D3347" s="320" t="s">
        <v>30</v>
      </c>
      <c r="E3347" s="637">
        <f>E3348</f>
        <v>667000</v>
      </c>
      <c r="F3347" s="501">
        <f t="shared" si="2533"/>
        <v>733700.00000000012</v>
      </c>
      <c r="G3347" s="638">
        <f t="shared" si="2533"/>
        <v>807070.00000000023</v>
      </c>
      <c r="H3347" s="132"/>
    </row>
    <row r="3348" spans="1:8" s="290" customFormat="1" outlineLevel="2">
      <c r="A3348" s="505"/>
      <c r="B3348" s="505"/>
      <c r="C3348" s="355">
        <v>2210502</v>
      </c>
      <c r="D3348" s="505" t="s">
        <v>162</v>
      </c>
      <c r="E3348" s="639">
        <v>667000</v>
      </c>
      <c r="F3348" s="501">
        <f t="shared" si="2533"/>
        <v>733700.00000000012</v>
      </c>
      <c r="G3348" s="638">
        <f t="shared" si="2533"/>
        <v>807070.00000000023</v>
      </c>
      <c r="H3348" s="132"/>
    </row>
    <row r="3349" spans="1:8" s="290" customFormat="1" outlineLevel="2">
      <c r="A3349" s="505"/>
      <c r="B3349" s="505"/>
      <c r="C3349" s="441">
        <v>2210700</v>
      </c>
      <c r="D3349" s="320" t="s">
        <v>34</v>
      </c>
      <c r="E3349" s="637">
        <f>E3350+E3351</f>
        <v>1080000</v>
      </c>
      <c r="F3349" s="501">
        <f t="shared" si="2533"/>
        <v>1188000</v>
      </c>
      <c r="G3349" s="638">
        <f t="shared" si="2533"/>
        <v>1306800</v>
      </c>
      <c r="H3349" s="132"/>
    </row>
    <row r="3350" spans="1:8" s="290" customFormat="1" outlineLevel="2">
      <c r="A3350" s="505"/>
      <c r="B3350" s="505"/>
      <c r="C3350" s="355">
        <v>2210701</v>
      </c>
      <c r="D3350" s="505" t="s">
        <v>35</v>
      </c>
      <c r="E3350" s="639">
        <v>330000</v>
      </c>
      <c r="F3350" s="501">
        <f t="shared" si="2533"/>
        <v>363000.00000000006</v>
      </c>
      <c r="G3350" s="638">
        <f t="shared" si="2533"/>
        <v>399300.00000000012</v>
      </c>
      <c r="H3350" s="132"/>
    </row>
    <row r="3351" spans="1:8" s="290" customFormat="1" outlineLevel="2">
      <c r="A3351" s="505"/>
      <c r="B3351" s="505"/>
      <c r="C3351" s="355">
        <v>2210710</v>
      </c>
      <c r="D3351" s="505" t="s">
        <v>38</v>
      </c>
      <c r="E3351" s="639">
        <f>950000-200000</f>
        <v>750000</v>
      </c>
      <c r="F3351" s="501">
        <f t="shared" si="2533"/>
        <v>825000.00000000012</v>
      </c>
      <c r="G3351" s="638">
        <f t="shared" si="2533"/>
        <v>907500.00000000023</v>
      </c>
      <c r="H3351" s="132"/>
    </row>
    <row r="3352" spans="1:8" s="290" customFormat="1" outlineLevel="2">
      <c r="A3352" s="505"/>
      <c r="B3352" s="505"/>
      <c r="C3352" s="441">
        <v>2211100</v>
      </c>
      <c r="D3352" s="320" t="s">
        <v>49</v>
      </c>
      <c r="E3352" s="637">
        <f>E3353+E3354+E3355</f>
        <v>1014908</v>
      </c>
      <c r="F3352" s="501">
        <f t="shared" si="2533"/>
        <v>1116398.8</v>
      </c>
      <c r="G3352" s="638">
        <f t="shared" si="2533"/>
        <v>1228038.6800000002</v>
      </c>
      <c r="H3352" s="132"/>
    </row>
    <row r="3353" spans="1:8" s="290" customFormat="1" outlineLevel="2">
      <c r="A3353" s="505"/>
      <c r="B3353" s="505"/>
      <c r="C3353" s="355">
        <v>2211101</v>
      </c>
      <c r="D3353" s="505" t="s">
        <v>87</v>
      </c>
      <c r="E3353" s="639">
        <v>343308</v>
      </c>
      <c r="F3353" s="501">
        <f t="shared" si="2533"/>
        <v>377638.80000000005</v>
      </c>
      <c r="G3353" s="638">
        <f t="shared" si="2533"/>
        <v>415402.68000000011</v>
      </c>
      <c r="H3353" s="132"/>
    </row>
    <row r="3354" spans="1:8" s="290" customFormat="1" outlineLevel="2">
      <c r="A3354" s="505"/>
      <c r="B3354" s="505"/>
      <c r="C3354" s="355">
        <v>2211102</v>
      </c>
      <c r="D3354" s="505" t="s">
        <v>51</v>
      </c>
      <c r="E3354" s="639">
        <v>575000</v>
      </c>
      <c r="F3354" s="501">
        <f t="shared" si="2533"/>
        <v>632500</v>
      </c>
      <c r="G3354" s="638">
        <f t="shared" si="2533"/>
        <v>695750</v>
      </c>
      <c r="H3354" s="132"/>
    </row>
    <row r="3355" spans="1:8" s="290" customFormat="1" outlineLevel="2">
      <c r="A3355" s="505"/>
      <c r="B3355" s="505"/>
      <c r="C3355" s="355">
        <v>2211103</v>
      </c>
      <c r="D3355" s="505" t="s">
        <v>52</v>
      </c>
      <c r="E3355" s="639">
        <v>96600</v>
      </c>
      <c r="F3355" s="501">
        <f t="shared" si="2533"/>
        <v>106260.00000000001</v>
      </c>
      <c r="G3355" s="638">
        <f t="shared" si="2533"/>
        <v>116886.00000000003</v>
      </c>
      <c r="H3355" s="132"/>
    </row>
    <row r="3356" spans="1:8" s="290" customFormat="1" outlineLevel="2">
      <c r="A3356" s="505"/>
      <c r="B3356" s="505"/>
      <c r="C3356" s="441">
        <v>2211200</v>
      </c>
      <c r="D3356" s="320" t="s">
        <v>53</v>
      </c>
      <c r="E3356" s="637">
        <f>E3357</f>
        <v>966800</v>
      </c>
      <c r="F3356" s="501">
        <f t="shared" si="2533"/>
        <v>1063480</v>
      </c>
      <c r="G3356" s="638">
        <f t="shared" si="2533"/>
        <v>1169828</v>
      </c>
      <c r="H3356" s="132"/>
    </row>
    <row r="3357" spans="1:8" s="290" customFormat="1" outlineLevel="2">
      <c r="A3357" s="505"/>
      <c r="B3357" s="505"/>
      <c r="C3357" s="355">
        <v>2211201</v>
      </c>
      <c r="D3357" s="505" t="s">
        <v>91</v>
      </c>
      <c r="E3357" s="639">
        <v>966800</v>
      </c>
      <c r="F3357" s="501">
        <f t="shared" si="2533"/>
        <v>1063480</v>
      </c>
      <c r="G3357" s="638">
        <f t="shared" si="2533"/>
        <v>1169828</v>
      </c>
      <c r="H3357" s="132"/>
    </row>
    <row r="3358" spans="1:8" s="290" customFormat="1" outlineLevel="2">
      <c r="A3358" s="505"/>
      <c r="B3358" s="505"/>
      <c r="C3358" s="441">
        <v>2211300</v>
      </c>
      <c r="D3358" s="320" t="s">
        <v>57</v>
      </c>
      <c r="E3358" s="637">
        <f>E3359</f>
        <v>556546</v>
      </c>
      <c r="F3358" s="501">
        <f t="shared" si="2533"/>
        <v>612200.60000000009</v>
      </c>
      <c r="G3358" s="638">
        <f t="shared" si="2533"/>
        <v>673420.66000000015</v>
      </c>
      <c r="H3358" s="132"/>
    </row>
    <row r="3359" spans="1:8" s="290" customFormat="1" outlineLevel="2">
      <c r="A3359" s="505"/>
      <c r="B3359" s="505"/>
      <c r="C3359" s="355">
        <v>2211306</v>
      </c>
      <c r="D3359" s="505" t="s">
        <v>57</v>
      </c>
      <c r="E3359" s="639">
        <v>556546</v>
      </c>
      <c r="F3359" s="501">
        <f t="shared" si="2533"/>
        <v>612200.60000000009</v>
      </c>
      <c r="G3359" s="638">
        <f t="shared" si="2533"/>
        <v>673420.66000000015</v>
      </c>
      <c r="H3359" s="132"/>
    </row>
    <row r="3360" spans="1:8" s="290" customFormat="1" outlineLevel="2">
      <c r="A3360" s="505"/>
      <c r="B3360" s="505"/>
      <c r="C3360" s="441">
        <v>3111000</v>
      </c>
      <c r="D3360" s="320" t="s">
        <v>65</v>
      </c>
      <c r="E3360" s="637">
        <f>E3361</f>
        <v>527674.19165683596</v>
      </c>
      <c r="F3360" s="501">
        <f t="shared" si="2533"/>
        <v>580441.61082251964</v>
      </c>
      <c r="G3360" s="638">
        <f t="shared" si="2533"/>
        <v>638485.77190477168</v>
      </c>
      <c r="H3360" s="132"/>
    </row>
    <row r="3361" spans="1:8" s="290" customFormat="1" outlineLevel="2">
      <c r="A3361" s="505"/>
      <c r="B3361" s="505"/>
      <c r="C3361" s="355">
        <v>3111001</v>
      </c>
      <c r="D3361" s="505" t="s">
        <v>66</v>
      </c>
      <c r="E3361" s="639">
        <v>527674.19165683596</v>
      </c>
      <c r="F3361" s="501">
        <f t="shared" si="2533"/>
        <v>580441.61082251964</v>
      </c>
      <c r="G3361" s="638">
        <f t="shared" si="2533"/>
        <v>638485.77190477168</v>
      </c>
      <c r="H3361" s="132"/>
    </row>
    <row r="3362" spans="1:8" s="290" customFormat="1" outlineLevel="1">
      <c r="A3362" s="505"/>
      <c r="B3362" s="505"/>
      <c r="C3362" s="437"/>
      <c r="D3362" s="375" t="s">
        <v>101</v>
      </c>
      <c r="E3362" s="432">
        <f>E3360+E3358+E3356+E3352+E3349+E3347+E3343+E3341</f>
        <v>6808928.1916568354</v>
      </c>
      <c r="F3362" s="501">
        <f t="shared" si="2533"/>
        <v>7489821.0108225197</v>
      </c>
      <c r="G3362" s="638">
        <f t="shared" si="2533"/>
        <v>8238803.111904772</v>
      </c>
      <c r="H3362" s="132"/>
    </row>
    <row r="3363" spans="1:8" s="290" customFormat="1" outlineLevel="1">
      <c r="A3363" s="505"/>
      <c r="B3363" s="505"/>
      <c r="C3363" s="478"/>
      <c r="D3363" s="375" t="s">
        <v>80</v>
      </c>
      <c r="E3363" s="432">
        <f>E3362</f>
        <v>6808928.1916568354</v>
      </c>
      <c r="F3363" s="501">
        <f t="shared" si="2533"/>
        <v>7489821.0108225197</v>
      </c>
      <c r="G3363" s="638">
        <f t="shared" si="2533"/>
        <v>8238803.111904772</v>
      </c>
      <c r="H3363" s="132"/>
    </row>
    <row r="3364" spans="1:8" s="290" customFormat="1" outlineLevel="1">
      <c r="A3364" s="505"/>
      <c r="B3364" s="505"/>
      <c r="C3364" s="355"/>
      <c r="D3364" s="375" t="s">
        <v>911</v>
      </c>
      <c r="E3364" s="432">
        <f>E3362+E3337+E3294+E3267+E3225</f>
        <v>379989442.49107826</v>
      </c>
      <c r="F3364" s="501">
        <f t="shared" si="2533"/>
        <v>417988386.7401861</v>
      </c>
      <c r="G3364" s="638">
        <f t="shared" si="2533"/>
        <v>459787225.41420472</v>
      </c>
      <c r="H3364" s="132"/>
    </row>
    <row r="3365" spans="1:8" s="290" customFormat="1" outlineLevel="1">
      <c r="A3365" s="505"/>
      <c r="B3365" s="505"/>
      <c r="C3365" s="355"/>
      <c r="D3365" s="375"/>
      <c r="E3365" s="432"/>
      <c r="F3365" s="501">
        <f t="shared" si="2533"/>
        <v>0</v>
      </c>
      <c r="G3365" s="638">
        <f t="shared" si="2533"/>
        <v>0</v>
      </c>
      <c r="H3365" s="132"/>
    </row>
    <row r="3366" spans="1:8" s="290" customFormat="1" outlineLevel="1">
      <c r="A3366" s="505"/>
      <c r="B3366" s="505"/>
      <c r="C3366" s="438" t="s">
        <v>912</v>
      </c>
      <c r="D3366" s="375"/>
      <c r="E3366" s="432"/>
      <c r="F3366" s="501">
        <f t="shared" ref="F3366:G3427" si="2534">E3366*1.1</f>
        <v>0</v>
      </c>
      <c r="G3366" s="638">
        <f t="shared" si="2534"/>
        <v>0</v>
      </c>
      <c r="H3366" s="132"/>
    </row>
    <row r="3367" spans="1:8" s="290" customFormat="1" outlineLevel="1">
      <c r="A3367" s="505"/>
      <c r="B3367" s="505"/>
      <c r="C3367" s="443" t="s">
        <v>913</v>
      </c>
      <c r="D3367" s="328"/>
      <c r="E3367" s="615"/>
      <c r="F3367" s="501">
        <f t="shared" si="2534"/>
        <v>0</v>
      </c>
      <c r="G3367" s="638">
        <f t="shared" si="2534"/>
        <v>0</v>
      </c>
      <c r="H3367" s="132"/>
    </row>
    <row r="3368" spans="1:8" s="290" customFormat="1" outlineLevel="1">
      <c r="A3368" s="505"/>
      <c r="B3368" s="505"/>
      <c r="C3368" s="443" t="s">
        <v>914</v>
      </c>
      <c r="D3368" s="328"/>
      <c r="E3368" s="615"/>
      <c r="F3368" s="501">
        <f t="shared" si="2534"/>
        <v>0</v>
      </c>
      <c r="G3368" s="638">
        <f t="shared" si="2534"/>
        <v>0</v>
      </c>
      <c r="H3368" s="132"/>
    </row>
    <row r="3369" spans="1:8" s="290" customFormat="1" outlineLevel="3">
      <c r="A3369" s="505"/>
      <c r="B3369" s="505"/>
      <c r="C3369" s="441">
        <v>2210100</v>
      </c>
      <c r="D3369" s="320" t="s">
        <v>16</v>
      </c>
      <c r="E3369" s="637">
        <f>E3370+E3371</f>
        <v>20000</v>
      </c>
      <c r="F3369" s="501">
        <f t="shared" si="2534"/>
        <v>22000</v>
      </c>
      <c r="G3369" s="638">
        <f t="shared" si="2534"/>
        <v>24200.000000000004</v>
      </c>
      <c r="H3369" s="132"/>
    </row>
    <row r="3370" spans="1:8" s="290" customFormat="1" outlineLevel="3">
      <c r="A3370" s="505"/>
      <c r="B3370" s="505"/>
      <c r="C3370" s="355">
        <v>2210101</v>
      </c>
      <c r="D3370" s="505" t="s">
        <v>17</v>
      </c>
      <c r="E3370" s="639">
        <v>10000</v>
      </c>
      <c r="F3370" s="501">
        <f t="shared" si="2534"/>
        <v>11000</v>
      </c>
      <c r="G3370" s="638">
        <f t="shared" si="2534"/>
        <v>12100.000000000002</v>
      </c>
      <c r="H3370" s="132"/>
    </row>
    <row r="3371" spans="1:8" s="290" customFormat="1" outlineLevel="3">
      <c r="A3371" s="505"/>
      <c r="B3371" s="505"/>
      <c r="C3371" s="355">
        <v>2210102</v>
      </c>
      <c r="D3371" s="505" t="s">
        <v>18</v>
      </c>
      <c r="E3371" s="639">
        <v>10000</v>
      </c>
      <c r="F3371" s="501">
        <f t="shared" si="2534"/>
        <v>11000</v>
      </c>
      <c r="G3371" s="638">
        <f t="shared" si="2534"/>
        <v>12100.000000000002</v>
      </c>
      <c r="H3371" s="132"/>
    </row>
    <row r="3372" spans="1:8" s="290" customFormat="1" outlineLevel="3">
      <c r="A3372" s="505"/>
      <c r="B3372" s="505"/>
      <c r="C3372" s="441">
        <v>2210200</v>
      </c>
      <c r="D3372" s="320" t="s">
        <v>19</v>
      </c>
      <c r="E3372" s="637">
        <f>E3373</f>
        <v>5000</v>
      </c>
      <c r="F3372" s="501">
        <f t="shared" si="2534"/>
        <v>5500</v>
      </c>
      <c r="G3372" s="638">
        <f t="shared" si="2534"/>
        <v>6050.0000000000009</v>
      </c>
      <c r="H3372" s="132"/>
    </row>
    <row r="3373" spans="1:8" s="290" customFormat="1" outlineLevel="3">
      <c r="A3373" s="505"/>
      <c r="B3373" s="505"/>
      <c r="C3373" s="355">
        <v>2210201</v>
      </c>
      <c r="D3373" s="505" t="s">
        <v>20</v>
      </c>
      <c r="E3373" s="639">
        <v>5000</v>
      </c>
      <c r="F3373" s="501">
        <f t="shared" si="2534"/>
        <v>5500</v>
      </c>
      <c r="G3373" s="638">
        <f t="shared" si="2534"/>
        <v>6050.0000000000009</v>
      </c>
      <c r="H3373" s="132"/>
    </row>
    <row r="3374" spans="1:8" s="290" customFormat="1" outlineLevel="3">
      <c r="A3374" s="505"/>
      <c r="B3374" s="505"/>
      <c r="C3374" s="441">
        <v>2210300</v>
      </c>
      <c r="D3374" s="320" t="s">
        <v>23</v>
      </c>
      <c r="E3374" s="637">
        <f>E3375+E3376+E3377+E3378</f>
        <v>4006300</v>
      </c>
      <c r="F3374" s="501">
        <f t="shared" si="2534"/>
        <v>4406930</v>
      </c>
      <c r="G3374" s="638">
        <f t="shared" si="2534"/>
        <v>4847623</v>
      </c>
      <c r="H3374" s="132"/>
    </row>
    <row r="3375" spans="1:8" s="290" customFormat="1" outlineLevel="3">
      <c r="A3375" s="505"/>
      <c r="B3375" s="505"/>
      <c r="C3375" s="355">
        <v>2210301</v>
      </c>
      <c r="D3375" s="505" t="s">
        <v>24</v>
      </c>
      <c r="E3375" s="639">
        <f>350000+355000</f>
        <v>705000</v>
      </c>
      <c r="F3375" s="501">
        <f t="shared" si="2534"/>
        <v>775500.00000000012</v>
      </c>
      <c r="G3375" s="638">
        <f t="shared" si="2534"/>
        <v>853050.00000000023</v>
      </c>
      <c r="H3375" s="132"/>
    </row>
    <row r="3376" spans="1:8" s="290" customFormat="1" outlineLevel="3">
      <c r="A3376" s="505"/>
      <c r="B3376" s="505"/>
      <c r="C3376" s="355">
        <v>2210302</v>
      </c>
      <c r="D3376" s="505" t="s">
        <v>25</v>
      </c>
      <c r="E3376" s="639">
        <f>2560000-1000000</f>
        <v>1560000</v>
      </c>
      <c r="F3376" s="501">
        <f t="shared" si="2534"/>
        <v>1716000.0000000002</v>
      </c>
      <c r="G3376" s="638">
        <f t="shared" si="2534"/>
        <v>1887600.0000000005</v>
      </c>
      <c r="H3376" s="132"/>
    </row>
    <row r="3377" spans="1:8" s="290" customFormat="1" outlineLevel="3">
      <c r="A3377" s="505"/>
      <c r="B3377" s="505"/>
      <c r="C3377" s="355">
        <v>2210303</v>
      </c>
      <c r="D3377" s="505" t="s">
        <v>26</v>
      </c>
      <c r="E3377" s="639">
        <f>2700500-1000000</f>
        <v>1700500</v>
      </c>
      <c r="F3377" s="501">
        <f t="shared" si="2534"/>
        <v>1870550.0000000002</v>
      </c>
      <c r="G3377" s="638">
        <f t="shared" si="2534"/>
        <v>2057605.0000000005</v>
      </c>
      <c r="H3377" s="132"/>
    </row>
    <row r="3378" spans="1:8" s="290" customFormat="1" outlineLevel="3">
      <c r="A3378" s="505"/>
      <c r="B3378" s="505"/>
      <c r="C3378" s="355">
        <v>2210304</v>
      </c>
      <c r="D3378" s="505" t="s">
        <v>27</v>
      </c>
      <c r="E3378" s="639">
        <v>40800</v>
      </c>
      <c r="F3378" s="501">
        <f t="shared" si="2534"/>
        <v>44880</v>
      </c>
      <c r="G3378" s="638">
        <f t="shared" si="2534"/>
        <v>49368.000000000007</v>
      </c>
      <c r="H3378" s="132"/>
    </row>
    <row r="3379" spans="1:8" s="290" customFormat="1" outlineLevel="3">
      <c r="A3379" s="505"/>
      <c r="B3379" s="505"/>
      <c r="C3379" s="441">
        <v>2210500</v>
      </c>
      <c r="D3379" s="320" t="s">
        <v>30</v>
      </c>
      <c r="E3379" s="637">
        <f>E3380+E3381+E3382</f>
        <v>170000</v>
      </c>
      <c r="F3379" s="501">
        <f t="shared" si="2534"/>
        <v>187000.00000000003</v>
      </c>
      <c r="G3379" s="638">
        <f t="shared" si="2534"/>
        <v>205700.00000000006</v>
      </c>
      <c r="H3379" s="132"/>
    </row>
    <row r="3380" spans="1:8" s="290" customFormat="1" outlineLevel="3">
      <c r="A3380" s="505"/>
      <c r="B3380" s="505"/>
      <c r="C3380" s="355">
        <v>2210502</v>
      </c>
      <c r="D3380" s="505" t="s">
        <v>162</v>
      </c>
      <c r="E3380" s="639">
        <v>54000</v>
      </c>
      <c r="F3380" s="501">
        <f t="shared" si="2534"/>
        <v>59400.000000000007</v>
      </c>
      <c r="G3380" s="638">
        <f t="shared" si="2534"/>
        <v>65340.000000000015</v>
      </c>
      <c r="H3380" s="132"/>
    </row>
    <row r="3381" spans="1:8" s="290" customFormat="1" outlineLevel="3">
      <c r="A3381" s="505"/>
      <c r="B3381" s="505"/>
      <c r="C3381" s="355">
        <v>2210503</v>
      </c>
      <c r="D3381" s="505" t="s">
        <v>31</v>
      </c>
      <c r="E3381" s="639">
        <v>16000</v>
      </c>
      <c r="F3381" s="501">
        <f t="shared" si="2534"/>
        <v>17600</v>
      </c>
      <c r="G3381" s="638">
        <f t="shared" si="2534"/>
        <v>19360</v>
      </c>
      <c r="H3381" s="132"/>
    </row>
    <row r="3382" spans="1:8" s="290" customFormat="1" outlineLevel="3">
      <c r="A3382" s="505"/>
      <c r="B3382" s="505"/>
      <c r="C3382" s="355">
        <v>2210505</v>
      </c>
      <c r="D3382" s="505" t="s">
        <v>213</v>
      </c>
      <c r="E3382" s="639">
        <v>100000</v>
      </c>
      <c r="F3382" s="501">
        <f t="shared" si="2534"/>
        <v>110000.00000000001</v>
      </c>
      <c r="G3382" s="638">
        <f t="shared" si="2534"/>
        <v>121000.00000000003</v>
      </c>
      <c r="H3382" s="132"/>
    </row>
    <row r="3383" spans="1:8" s="290" customFormat="1" outlineLevel="3">
      <c r="A3383" s="505"/>
      <c r="B3383" s="505"/>
      <c r="C3383" s="441">
        <v>2210700</v>
      </c>
      <c r="D3383" s="320" t="s">
        <v>34</v>
      </c>
      <c r="E3383" s="637">
        <f>E3384+E3385+E3386+E3387+E3388</f>
        <v>1414159.952201158</v>
      </c>
      <c r="F3383" s="501">
        <f t="shared" si="2534"/>
        <v>1555575.9474212739</v>
      </c>
      <c r="G3383" s="638">
        <f t="shared" si="2534"/>
        <v>1711133.5421634014</v>
      </c>
      <c r="H3383" s="132"/>
    </row>
    <row r="3384" spans="1:8" s="290" customFormat="1" outlineLevel="3">
      <c r="A3384" s="505"/>
      <c r="B3384" s="505"/>
      <c r="C3384" s="355">
        <v>2210701</v>
      </c>
      <c r="D3384" s="505" t="s">
        <v>35</v>
      </c>
      <c r="E3384" s="639">
        <v>500000</v>
      </c>
      <c r="F3384" s="501">
        <f t="shared" si="2534"/>
        <v>550000</v>
      </c>
      <c r="G3384" s="638">
        <f t="shared" si="2534"/>
        <v>605000</v>
      </c>
      <c r="H3384" s="132"/>
    </row>
    <row r="3385" spans="1:8" s="290" customFormat="1" outlineLevel="3">
      <c r="A3385" s="505"/>
      <c r="B3385" s="505"/>
      <c r="C3385" s="355">
        <v>2210703</v>
      </c>
      <c r="D3385" s="505" t="s">
        <v>166</v>
      </c>
      <c r="E3385" s="639">
        <v>50000</v>
      </c>
      <c r="F3385" s="501">
        <f t="shared" si="2534"/>
        <v>55000.000000000007</v>
      </c>
      <c r="G3385" s="638">
        <f t="shared" si="2534"/>
        <v>60500.000000000015</v>
      </c>
      <c r="H3385" s="132"/>
    </row>
    <row r="3386" spans="1:8" s="290" customFormat="1" outlineLevel="3">
      <c r="A3386" s="505"/>
      <c r="B3386" s="505"/>
      <c r="C3386" s="355">
        <v>2210704</v>
      </c>
      <c r="D3386" s="505" t="s">
        <v>37</v>
      </c>
      <c r="E3386" s="639">
        <v>254000</v>
      </c>
      <c r="F3386" s="501">
        <f t="shared" si="2534"/>
        <v>279400</v>
      </c>
      <c r="G3386" s="638">
        <f t="shared" si="2534"/>
        <v>307340</v>
      </c>
      <c r="H3386" s="132"/>
    </row>
    <row r="3387" spans="1:8" s="290" customFormat="1" outlineLevel="3">
      <c r="A3387" s="505"/>
      <c r="B3387" s="505"/>
      <c r="C3387" s="355">
        <v>2210710</v>
      </c>
      <c r="D3387" s="505" t="s">
        <v>38</v>
      </c>
      <c r="E3387" s="639">
        <v>329000</v>
      </c>
      <c r="F3387" s="501">
        <f t="shared" si="2534"/>
        <v>361900.00000000006</v>
      </c>
      <c r="G3387" s="638">
        <f t="shared" si="2534"/>
        <v>398090.00000000012</v>
      </c>
      <c r="H3387" s="132"/>
    </row>
    <row r="3388" spans="1:8" s="290" customFormat="1" outlineLevel="3">
      <c r="A3388" s="505"/>
      <c r="B3388" s="505"/>
      <c r="C3388" s="355">
        <v>2210715</v>
      </c>
      <c r="D3388" s="505" t="s">
        <v>39</v>
      </c>
      <c r="E3388" s="639">
        <v>281159.95220115804</v>
      </c>
      <c r="F3388" s="501">
        <f t="shared" si="2534"/>
        <v>309275.94742127386</v>
      </c>
      <c r="G3388" s="638">
        <f t="shared" si="2534"/>
        <v>340203.54216340126</v>
      </c>
      <c r="H3388" s="132"/>
    </row>
    <row r="3389" spans="1:8" s="290" customFormat="1" outlineLevel="3">
      <c r="A3389" s="505"/>
      <c r="B3389" s="505"/>
      <c r="C3389" s="441">
        <v>2211100</v>
      </c>
      <c r="D3389" s="320" t="s">
        <v>49</v>
      </c>
      <c r="E3389" s="637">
        <f>E3390+E3391+E3392</f>
        <v>933000</v>
      </c>
      <c r="F3389" s="501">
        <f t="shared" si="2534"/>
        <v>1026300.0000000001</v>
      </c>
      <c r="G3389" s="638">
        <f t="shared" si="2534"/>
        <v>1128930.0000000002</v>
      </c>
      <c r="H3389" s="132"/>
    </row>
    <row r="3390" spans="1:8" s="290" customFormat="1" outlineLevel="3">
      <c r="A3390" s="505"/>
      <c r="B3390" s="505"/>
      <c r="C3390" s="355">
        <v>2211101</v>
      </c>
      <c r="D3390" s="505" t="s">
        <v>87</v>
      </c>
      <c r="E3390" s="639">
        <v>500000</v>
      </c>
      <c r="F3390" s="501">
        <f t="shared" si="2534"/>
        <v>550000</v>
      </c>
      <c r="G3390" s="638">
        <f t="shared" si="2534"/>
        <v>605000</v>
      </c>
      <c r="H3390" s="132"/>
    </row>
    <row r="3391" spans="1:8" s="290" customFormat="1" outlineLevel="3">
      <c r="A3391" s="505"/>
      <c r="B3391" s="505"/>
      <c r="C3391" s="355">
        <v>2211102</v>
      </c>
      <c r="D3391" s="505" t="s">
        <v>51</v>
      </c>
      <c r="E3391" s="639">
        <v>250000</v>
      </c>
      <c r="F3391" s="501">
        <f t="shared" si="2534"/>
        <v>275000</v>
      </c>
      <c r="G3391" s="638">
        <f t="shared" si="2534"/>
        <v>302500</v>
      </c>
      <c r="H3391" s="132"/>
    </row>
    <row r="3392" spans="1:8" s="290" customFormat="1" outlineLevel="3">
      <c r="A3392" s="505"/>
      <c r="B3392" s="505"/>
      <c r="C3392" s="355">
        <v>2211103</v>
      </c>
      <c r="D3392" s="505" t="s">
        <v>52</v>
      </c>
      <c r="E3392" s="639">
        <v>183000</v>
      </c>
      <c r="F3392" s="501">
        <f t="shared" si="2534"/>
        <v>201300.00000000003</v>
      </c>
      <c r="G3392" s="638">
        <f t="shared" si="2534"/>
        <v>221430.00000000006</v>
      </c>
      <c r="H3392" s="132"/>
    </row>
    <row r="3393" spans="1:8" s="290" customFormat="1" outlineLevel="3">
      <c r="A3393" s="505"/>
      <c r="B3393" s="505"/>
      <c r="C3393" s="441">
        <v>2211200</v>
      </c>
      <c r="D3393" s="320" t="s">
        <v>53</v>
      </c>
      <c r="E3393" s="637">
        <f>E3394</f>
        <v>50000</v>
      </c>
      <c r="F3393" s="501">
        <f t="shared" si="2534"/>
        <v>55000.000000000007</v>
      </c>
      <c r="G3393" s="638">
        <f t="shared" si="2534"/>
        <v>60500.000000000015</v>
      </c>
      <c r="H3393" s="132"/>
    </row>
    <row r="3394" spans="1:8" s="290" customFormat="1" outlineLevel="3">
      <c r="A3394" s="505"/>
      <c r="B3394" s="505"/>
      <c r="C3394" s="355">
        <v>2211201</v>
      </c>
      <c r="D3394" s="505" t="s">
        <v>91</v>
      </c>
      <c r="E3394" s="639">
        <v>50000</v>
      </c>
      <c r="F3394" s="501">
        <f t="shared" si="2534"/>
        <v>55000.000000000007</v>
      </c>
      <c r="G3394" s="638">
        <f t="shared" si="2534"/>
        <v>60500.000000000015</v>
      </c>
      <c r="H3394" s="132"/>
    </row>
    <row r="3395" spans="1:8" s="290" customFormat="1" outlineLevel="3">
      <c r="A3395" s="505"/>
      <c r="B3395" s="505"/>
      <c r="C3395" s="441">
        <v>2211300</v>
      </c>
      <c r="D3395" s="320" t="s">
        <v>55</v>
      </c>
      <c r="E3395" s="637">
        <f>E3396</f>
        <v>1745000</v>
      </c>
      <c r="F3395" s="501">
        <f t="shared" si="2534"/>
        <v>1919500.0000000002</v>
      </c>
      <c r="G3395" s="638">
        <f t="shared" si="2534"/>
        <v>2111450.0000000005</v>
      </c>
      <c r="H3395" s="132"/>
    </row>
    <row r="3396" spans="1:8" s="290" customFormat="1" outlineLevel="3">
      <c r="A3396" s="505"/>
      <c r="B3396" s="505"/>
      <c r="C3396" s="355">
        <v>2211320</v>
      </c>
      <c r="D3396" s="505" t="s">
        <v>915</v>
      </c>
      <c r="E3396" s="639">
        <v>1745000</v>
      </c>
      <c r="F3396" s="501">
        <f t="shared" si="2534"/>
        <v>1919500.0000000002</v>
      </c>
      <c r="G3396" s="638">
        <f t="shared" si="2534"/>
        <v>2111450.0000000005</v>
      </c>
      <c r="H3396" s="132"/>
    </row>
    <row r="3397" spans="1:8" s="290" customFormat="1" outlineLevel="3">
      <c r="A3397" s="505"/>
      <c r="B3397" s="505"/>
      <c r="C3397" s="441">
        <v>2220100</v>
      </c>
      <c r="D3397" s="320" t="s">
        <v>61</v>
      </c>
      <c r="E3397" s="637">
        <f>E3398+E3399</f>
        <v>175300</v>
      </c>
      <c r="F3397" s="501">
        <f t="shared" si="2534"/>
        <v>192830.00000000003</v>
      </c>
      <c r="G3397" s="638">
        <f t="shared" si="2534"/>
        <v>212113.00000000006</v>
      </c>
      <c r="H3397" s="132"/>
    </row>
    <row r="3398" spans="1:8" s="290" customFormat="1" outlineLevel="3">
      <c r="A3398" s="505"/>
      <c r="B3398" s="505"/>
      <c r="C3398" s="355">
        <v>2220101</v>
      </c>
      <c r="D3398" s="505" t="s">
        <v>92</v>
      </c>
      <c r="E3398" s="639">
        <v>75000</v>
      </c>
      <c r="F3398" s="501">
        <f t="shared" si="2534"/>
        <v>82500</v>
      </c>
      <c r="G3398" s="638">
        <f t="shared" si="2534"/>
        <v>90750.000000000015</v>
      </c>
      <c r="H3398" s="132"/>
    </row>
    <row r="3399" spans="1:8" s="290" customFormat="1" outlineLevel="3">
      <c r="A3399" s="505"/>
      <c r="B3399" s="505"/>
      <c r="C3399" s="355">
        <v>2220105</v>
      </c>
      <c r="D3399" s="505" t="s">
        <v>64</v>
      </c>
      <c r="E3399" s="639">
        <v>100300</v>
      </c>
      <c r="F3399" s="501">
        <f t="shared" si="2534"/>
        <v>110330.00000000001</v>
      </c>
      <c r="G3399" s="638">
        <f t="shared" si="2534"/>
        <v>121363.00000000003</v>
      </c>
      <c r="H3399" s="132"/>
    </row>
    <row r="3400" spans="1:8" s="290" customFormat="1" outlineLevel="3">
      <c r="A3400" s="505"/>
      <c r="B3400" s="505"/>
      <c r="C3400" s="441">
        <v>3110300</v>
      </c>
      <c r="D3400" s="320" t="s">
        <v>294</v>
      </c>
      <c r="E3400" s="637">
        <f>E3401</f>
        <v>30000</v>
      </c>
      <c r="F3400" s="501">
        <f t="shared" si="2534"/>
        <v>33000</v>
      </c>
      <c r="G3400" s="638">
        <f t="shared" si="2534"/>
        <v>36300</v>
      </c>
      <c r="H3400" s="132"/>
    </row>
    <row r="3401" spans="1:8" s="290" customFormat="1" outlineLevel="3">
      <c r="A3401" s="505"/>
      <c r="B3401" s="505"/>
      <c r="C3401" s="355">
        <v>3110302</v>
      </c>
      <c r="D3401" s="505" t="s">
        <v>295</v>
      </c>
      <c r="E3401" s="639">
        <v>30000</v>
      </c>
      <c r="F3401" s="501">
        <f t="shared" si="2534"/>
        <v>33000</v>
      </c>
      <c r="G3401" s="638">
        <f t="shared" si="2534"/>
        <v>36300</v>
      </c>
      <c r="H3401" s="132"/>
    </row>
    <row r="3402" spans="1:8" s="290" customFormat="1" outlineLevel="3">
      <c r="A3402" s="505"/>
      <c r="B3402" s="505"/>
      <c r="C3402" s="441">
        <v>3111000</v>
      </c>
      <c r="D3402" s="320" t="s">
        <v>65</v>
      </c>
      <c r="E3402" s="637">
        <f>E3403</f>
        <v>1057000</v>
      </c>
      <c r="F3402" s="501">
        <f t="shared" si="2534"/>
        <v>1162700</v>
      </c>
      <c r="G3402" s="638">
        <f t="shared" si="2534"/>
        <v>1278970</v>
      </c>
      <c r="H3402" s="132"/>
    </row>
    <row r="3403" spans="1:8" s="290" customFormat="1" outlineLevel="3">
      <c r="A3403" s="505"/>
      <c r="B3403" s="505"/>
      <c r="C3403" s="355">
        <v>3111009</v>
      </c>
      <c r="D3403" s="505" t="s">
        <v>916</v>
      </c>
      <c r="E3403" s="639">
        <f>457000+600000</f>
        <v>1057000</v>
      </c>
      <c r="F3403" s="501">
        <f t="shared" si="2534"/>
        <v>1162700</v>
      </c>
      <c r="G3403" s="638">
        <f t="shared" si="2534"/>
        <v>1278970</v>
      </c>
      <c r="H3403" s="132"/>
    </row>
    <row r="3404" spans="1:8" s="290" customFormat="1" outlineLevel="3">
      <c r="A3404" s="505"/>
      <c r="B3404" s="505"/>
      <c r="C3404" s="441">
        <v>3111400</v>
      </c>
      <c r="D3404" s="320" t="s">
        <v>805</v>
      </c>
      <c r="E3404" s="637">
        <f>E3405</f>
        <v>200000</v>
      </c>
      <c r="F3404" s="501">
        <f t="shared" si="2534"/>
        <v>220000.00000000003</v>
      </c>
      <c r="G3404" s="638">
        <f t="shared" si="2534"/>
        <v>242000.00000000006</v>
      </c>
      <c r="H3404" s="132"/>
    </row>
    <row r="3405" spans="1:8" s="290" customFormat="1" outlineLevel="3">
      <c r="A3405" s="505"/>
      <c r="B3405" s="505"/>
      <c r="C3405" s="355">
        <v>3111401</v>
      </c>
      <c r="D3405" s="505" t="s">
        <v>917</v>
      </c>
      <c r="E3405" s="639">
        <v>200000</v>
      </c>
      <c r="F3405" s="501">
        <f t="shared" si="2534"/>
        <v>220000.00000000003</v>
      </c>
      <c r="G3405" s="638">
        <f t="shared" si="2534"/>
        <v>242000.00000000006</v>
      </c>
      <c r="H3405" s="132"/>
    </row>
    <row r="3406" spans="1:8" s="290" customFormat="1" outlineLevel="2">
      <c r="A3406" s="505"/>
      <c r="B3406" s="505"/>
      <c r="C3406" s="438"/>
      <c r="D3406" s="375" t="s">
        <v>183</v>
      </c>
      <c r="E3406" s="432">
        <f>E3369+E3372+E3374+E3379+E3383+E3389+E3393+E3395+E3397+E3400+E3402+E3404</f>
        <v>9805759.9522011578</v>
      </c>
      <c r="F3406" s="501">
        <f t="shared" si="2534"/>
        <v>10786335.947421275</v>
      </c>
      <c r="G3406" s="638">
        <f t="shared" si="2534"/>
        <v>11864969.542163404</v>
      </c>
      <c r="H3406" s="132"/>
    </row>
    <row r="3407" spans="1:8" s="290" customFormat="1" outlineLevel="2">
      <c r="A3407" s="505"/>
      <c r="B3407" s="505"/>
      <c r="C3407" s="438"/>
      <c r="D3407" s="375" t="s">
        <v>184</v>
      </c>
      <c r="E3407" s="432"/>
      <c r="F3407" s="501">
        <f t="shared" si="2534"/>
        <v>0</v>
      </c>
      <c r="G3407" s="638">
        <f t="shared" si="2534"/>
        <v>0</v>
      </c>
      <c r="H3407" s="132"/>
    </row>
    <row r="3408" spans="1:8" s="290" customFormat="1" outlineLevel="3">
      <c r="A3408" s="505"/>
      <c r="B3408" s="505"/>
      <c r="C3408" s="437"/>
      <c r="D3408" s="324" t="s">
        <v>918</v>
      </c>
      <c r="E3408" s="495">
        <v>37500000</v>
      </c>
      <c r="F3408" s="501"/>
      <c r="G3408" s="638"/>
      <c r="H3408" s="132"/>
    </row>
    <row r="3409" spans="1:8" s="290" customFormat="1" outlineLevel="3">
      <c r="A3409" s="505"/>
      <c r="B3409" s="505"/>
      <c r="C3409" s="437"/>
      <c r="D3409" s="324" t="s">
        <v>919</v>
      </c>
      <c r="E3409" s="495">
        <v>352500000</v>
      </c>
      <c r="F3409" s="501">
        <f t="shared" si="2534"/>
        <v>387750000.00000006</v>
      </c>
      <c r="G3409" s="638">
        <f t="shared" si="2534"/>
        <v>426525000.00000012</v>
      </c>
      <c r="H3409" s="132"/>
    </row>
    <row r="3410" spans="1:8" s="290" customFormat="1" outlineLevel="3">
      <c r="A3410" s="505"/>
      <c r="B3410" s="505"/>
      <c r="C3410" s="437"/>
      <c r="D3410" s="324" t="s">
        <v>920</v>
      </c>
      <c r="E3410" s="495">
        <v>36000000</v>
      </c>
      <c r="F3410" s="501">
        <f t="shared" si="2534"/>
        <v>39600000</v>
      </c>
      <c r="G3410" s="638">
        <f t="shared" si="2534"/>
        <v>43560000</v>
      </c>
      <c r="H3410" s="132"/>
    </row>
    <row r="3411" spans="1:8" s="305" customFormat="1" outlineLevel="2">
      <c r="A3411" s="315"/>
      <c r="B3411" s="315"/>
      <c r="C3411" s="438"/>
      <c r="D3411" s="375" t="s">
        <v>348</v>
      </c>
      <c r="E3411" s="432">
        <f>E3410+E3409+E3408</f>
        <v>426000000</v>
      </c>
      <c r="F3411" s="501">
        <f t="shared" si="2534"/>
        <v>468600000.00000006</v>
      </c>
      <c r="G3411" s="638">
        <f t="shared" si="2534"/>
        <v>515460000.00000012</v>
      </c>
      <c r="H3411" s="132"/>
    </row>
    <row r="3412" spans="1:8" s="290" customFormat="1" outlineLevel="1">
      <c r="A3412" s="505"/>
      <c r="B3412" s="505"/>
      <c r="C3412" s="437"/>
      <c r="D3412" s="375" t="s">
        <v>808</v>
      </c>
      <c r="E3412" s="432">
        <f>E3406+E3411</f>
        <v>435805759.95220113</v>
      </c>
      <c r="F3412" s="501">
        <f t="shared" si="2534"/>
        <v>479386335.94742125</v>
      </c>
      <c r="G3412" s="638">
        <f t="shared" si="2534"/>
        <v>527324969.54216343</v>
      </c>
      <c r="H3412" s="132"/>
    </row>
    <row r="3413" spans="1:8" s="290" customFormat="1" outlineLevel="1">
      <c r="A3413" s="505"/>
      <c r="B3413" s="505"/>
      <c r="C3413" s="437"/>
      <c r="D3413" s="328"/>
      <c r="E3413" s="495"/>
      <c r="F3413" s="501">
        <f t="shared" si="2534"/>
        <v>0</v>
      </c>
      <c r="G3413" s="638">
        <f t="shared" si="2534"/>
        <v>0</v>
      </c>
      <c r="H3413" s="132"/>
    </row>
    <row r="3414" spans="1:8" s="290" customFormat="1" outlineLevel="1">
      <c r="A3414" s="505"/>
      <c r="B3414" s="505"/>
      <c r="C3414" s="438" t="s">
        <v>921</v>
      </c>
      <c r="D3414" s="375"/>
      <c r="E3414" s="432"/>
      <c r="F3414" s="501">
        <f t="shared" si="2534"/>
        <v>0</v>
      </c>
      <c r="G3414" s="638">
        <f t="shared" si="2534"/>
        <v>0</v>
      </c>
      <c r="H3414" s="132"/>
    </row>
    <row r="3415" spans="1:8" s="290" customFormat="1" outlineLevel="2">
      <c r="A3415" s="505"/>
      <c r="B3415" s="505"/>
      <c r="C3415" s="441">
        <v>2210200</v>
      </c>
      <c r="D3415" s="320" t="s">
        <v>19</v>
      </c>
      <c r="E3415" s="637">
        <f>E3416</f>
        <v>25600</v>
      </c>
      <c r="F3415" s="501">
        <f t="shared" si="2534"/>
        <v>28160.000000000004</v>
      </c>
      <c r="G3415" s="638">
        <f t="shared" si="2534"/>
        <v>30976.000000000007</v>
      </c>
      <c r="H3415" s="132"/>
    </row>
    <row r="3416" spans="1:8" s="290" customFormat="1" outlineLevel="2">
      <c r="A3416" s="505"/>
      <c r="B3416" s="505"/>
      <c r="C3416" s="355">
        <v>2210201</v>
      </c>
      <c r="D3416" s="505" t="s">
        <v>20</v>
      </c>
      <c r="E3416" s="639">
        <v>25600</v>
      </c>
      <c r="F3416" s="501">
        <f t="shared" si="2534"/>
        <v>28160.000000000004</v>
      </c>
      <c r="G3416" s="638">
        <f t="shared" si="2534"/>
        <v>30976.000000000007</v>
      </c>
      <c r="H3416" s="132"/>
    </row>
    <row r="3417" spans="1:8" s="290" customFormat="1" outlineLevel="2">
      <c r="A3417" s="505"/>
      <c r="B3417" s="505"/>
      <c r="C3417" s="441">
        <v>2210300</v>
      </c>
      <c r="D3417" s="320" t="s">
        <v>23</v>
      </c>
      <c r="E3417" s="637">
        <f>E3418+E3419+E3420+E3421</f>
        <v>3180161.0477988403</v>
      </c>
      <c r="F3417" s="501">
        <f t="shared" si="2534"/>
        <v>3498177.1525787245</v>
      </c>
      <c r="G3417" s="638">
        <f t="shared" si="2534"/>
        <v>3847994.8678365974</v>
      </c>
      <c r="H3417" s="132"/>
    </row>
    <row r="3418" spans="1:8" s="290" customFormat="1" outlineLevel="2">
      <c r="A3418" s="505"/>
      <c r="B3418" s="505"/>
      <c r="C3418" s="355">
        <v>2210301</v>
      </c>
      <c r="D3418" s="505" t="s">
        <v>24</v>
      </c>
      <c r="E3418" s="639">
        <v>793000</v>
      </c>
      <c r="F3418" s="501">
        <f t="shared" si="2534"/>
        <v>872300.00000000012</v>
      </c>
      <c r="G3418" s="638">
        <f t="shared" si="2534"/>
        <v>959530.00000000023</v>
      </c>
      <c r="H3418" s="132"/>
    </row>
    <row r="3419" spans="1:8" s="290" customFormat="1" outlineLevel="2">
      <c r="A3419" s="505"/>
      <c r="B3419" s="505"/>
      <c r="C3419" s="355">
        <v>2210302</v>
      </c>
      <c r="D3419" s="505" t="s">
        <v>25</v>
      </c>
      <c r="E3419" s="639">
        <v>720000</v>
      </c>
      <c r="F3419" s="501">
        <f t="shared" si="2534"/>
        <v>792000.00000000012</v>
      </c>
      <c r="G3419" s="638">
        <f t="shared" si="2534"/>
        <v>871200.00000000023</v>
      </c>
      <c r="H3419" s="132"/>
    </row>
    <row r="3420" spans="1:8" s="290" customFormat="1" outlineLevel="2">
      <c r="A3420" s="505"/>
      <c r="B3420" s="505"/>
      <c r="C3420" s="355">
        <v>2210303</v>
      </c>
      <c r="D3420" s="505" t="s">
        <v>26</v>
      </c>
      <c r="E3420" s="639">
        <v>1576161.0477988401</v>
      </c>
      <c r="F3420" s="501">
        <f t="shared" si="2534"/>
        <v>1733777.1525787243</v>
      </c>
      <c r="G3420" s="638">
        <f t="shared" si="2534"/>
        <v>1907154.8678365969</v>
      </c>
      <c r="H3420" s="132"/>
    </row>
    <row r="3421" spans="1:8" s="290" customFormat="1" outlineLevel="2">
      <c r="A3421" s="505"/>
      <c r="B3421" s="505"/>
      <c r="C3421" s="355">
        <v>2210304</v>
      </c>
      <c r="D3421" s="505" t="s">
        <v>27</v>
      </c>
      <c r="E3421" s="639">
        <v>91000</v>
      </c>
      <c r="F3421" s="501">
        <f t="shared" si="2534"/>
        <v>100100.00000000001</v>
      </c>
      <c r="G3421" s="638">
        <f t="shared" si="2534"/>
        <v>110110.00000000003</v>
      </c>
      <c r="H3421" s="132"/>
    </row>
    <row r="3422" spans="1:8" s="290" customFormat="1" outlineLevel="2">
      <c r="A3422" s="505"/>
      <c r="B3422" s="505"/>
      <c r="C3422" s="441">
        <v>2210500</v>
      </c>
      <c r="D3422" s="320" t="s">
        <v>30</v>
      </c>
      <c r="E3422" s="637">
        <f>E3423+E3424</f>
        <v>15205000.491078297</v>
      </c>
      <c r="F3422" s="501">
        <f t="shared" si="2534"/>
        <v>16725500.540186128</v>
      </c>
      <c r="G3422" s="638">
        <f t="shared" si="2534"/>
        <v>18398050.594204742</v>
      </c>
      <c r="H3422" s="132"/>
    </row>
    <row r="3423" spans="1:8" s="290" customFormat="1" outlineLevel="2">
      <c r="A3423" s="505"/>
      <c r="B3423" s="505"/>
      <c r="C3423" s="355">
        <v>2210502</v>
      </c>
      <c r="D3423" s="505" t="s">
        <v>162</v>
      </c>
      <c r="E3423" s="639">
        <v>245000</v>
      </c>
      <c r="F3423" s="501">
        <f t="shared" si="2534"/>
        <v>269500</v>
      </c>
      <c r="G3423" s="638">
        <f t="shared" si="2534"/>
        <v>296450</v>
      </c>
      <c r="H3423" s="132"/>
    </row>
    <row r="3424" spans="1:8" s="290" customFormat="1" outlineLevel="2">
      <c r="A3424" s="505"/>
      <c r="B3424" s="505"/>
      <c r="C3424" s="355">
        <v>2210504</v>
      </c>
      <c r="D3424" s="505" t="s">
        <v>922</v>
      </c>
      <c r="E3424" s="639">
        <f>(((10460000+4500000)+0.491078317165375)-3375000.49107832)--3375000.4910783</f>
        <v>14960000.491078297</v>
      </c>
      <c r="F3424" s="501">
        <f t="shared" si="2534"/>
        <v>16456000.540186128</v>
      </c>
      <c r="G3424" s="638">
        <f t="shared" si="2534"/>
        <v>18101600.594204742</v>
      </c>
      <c r="H3424" s="132"/>
    </row>
    <row r="3425" spans="1:8" s="290" customFormat="1" outlineLevel="2">
      <c r="A3425" s="505"/>
      <c r="B3425" s="505"/>
      <c r="C3425" s="441">
        <v>2210700</v>
      </c>
      <c r="D3425" s="320" t="s">
        <v>34</v>
      </c>
      <c r="E3425" s="637">
        <f>E3426+E3427+E3428+E3429</f>
        <v>1569567.5089216831</v>
      </c>
      <c r="F3425" s="501">
        <f t="shared" si="2534"/>
        <v>1726524.2598138514</v>
      </c>
      <c r="G3425" s="638">
        <f t="shared" si="2534"/>
        <v>1899176.6857952368</v>
      </c>
      <c r="H3425" s="132"/>
    </row>
    <row r="3426" spans="1:8" s="290" customFormat="1" outlineLevel="2">
      <c r="A3426" s="505"/>
      <c r="B3426" s="505"/>
      <c r="C3426" s="355">
        <v>2210701</v>
      </c>
      <c r="D3426" s="505" t="s">
        <v>35</v>
      </c>
      <c r="E3426" s="639">
        <v>494567.50892168301</v>
      </c>
      <c r="F3426" s="501">
        <f t="shared" si="2534"/>
        <v>544024.25981385133</v>
      </c>
      <c r="G3426" s="638">
        <f t="shared" si="2534"/>
        <v>598426.6857952365</v>
      </c>
      <c r="H3426" s="132"/>
    </row>
    <row r="3427" spans="1:8" s="290" customFormat="1" outlineLevel="2">
      <c r="A3427" s="505"/>
      <c r="B3427" s="505"/>
      <c r="C3427" s="355">
        <v>2210703</v>
      </c>
      <c r="D3427" s="505" t="s">
        <v>166</v>
      </c>
      <c r="E3427" s="639">
        <v>350000</v>
      </c>
      <c r="F3427" s="501">
        <f t="shared" si="2534"/>
        <v>385000.00000000006</v>
      </c>
      <c r="G3427" s="638">
        <f t="shared" si="2534"/>
        <v>423500.00000000012</v>
      </c>
      <c r="H3427" s="132"/>
    </row>
    <row r="3428" spans="1:8" s="290" customFormat="1" outlineLevel="2">
      <c r="A3428" s="505"/>
      <c r="B3428" s="505"/>
      <c r="C3428" s="355">
        <v>2210704</v>
      </c>
      <c r="D3428" s="505" t="s">
        <v>37</v>
      </c>
      <c r="E3428" s="639">
        <v>132000</v>
      </c>
      <c r="F3428" s="501">
        <f t="shared" ref="F3428:G3473" si="2535">E3428*1.1</f>
        <v>145200</v>
      </c>
      <c r="G3428" s="638">
        <f t="shared" si="2535"/>
        <v>159720</v>
      </c>
      <c r="H3428" s="132"/>
    </row>
    <row r="3429" spans="1:8" s="290" customFormat="1" outlineLevel="2">
      <c r="A3429" s="505"/>
      <c r="B3429" s="505"/>
      <c r="C3429" s="355">
        <v>2210710</v>
      </c>
      <c r="D3429" s="505" t="s">
        <v>38</v>
      </c>
      <c r="E3429" s="639">
        <v>593000</v>
      </c>
      <c r="F3429" s="501">
        <f t="shared" si="2535"/>
        <v>652300</v>
      </c>
      <c r="G3429" s="638">
        <f t="shared" si="2535"/>
        <v>717530</v>
      </c>
      <c r="H3429" s="132"/>
    </row>
    <row r="3430" spans="1:8" s="290" customFormat="1" outlineLevel="2">
      <c r="A3430" s="505"/>
      <c r="B3430" s="505"/>
      <c r="C3430" s="441">
        <v>2210800</v>
      </c>
      <c r="D3430" s="320" t="s">
        <v>41</v>
      </c>
      <c r="E3430" s="637">
        <f>E3431+E3432</f>
        <v>4956000</v>
      </c>
      <c r="F3430" s="501">
        <f t="shared" si="2535"/>
        <v>5451600</v>
      </c>
      <c r="G3430" s="638">
        <f t="shared" si="2535"/>
        <v>5996760.0000000009</v>
      </c>
      <c r="H3430" s="132"/>
    </row>
    <row r="3431" spans="1:8" s="290" customFormat="1" outlineLevel="2">
      <c r="A3431" s="505"/>
      <c r="B3431" s="505"/>
      <c r="C3431" s="355">
        <v>2210801</v>
      </c>
      <c r="D3431" s="505" t="s">
        <v>240</v>
      </c>
      <c r="E3431" s="639">
        <v>456000</v>
      </c>
      <c r="F3431" s="501">
        <f t="shared" si="2535"/>
        <v>501600.00000000006</v>
      </c>
      <c r="G3431" s="638">
        <f t="shared" si="2535"/>
        <v>551760.00000000012</v>
      </c>
      <c r="H3431" s="132"/>
    </row>
    <row r="3432" spans="1:8" s="290" customFormat="1" outlineLevel="2">
      <c r="A3432" s="505"/>
      <c r="B3432" s="505"/>
      <c r="C3432" s="355">
        <v>2210802</v>
      </c>
      <c r="D3432" s="505" t="s">
        <v>923</v>
      </c>
      <c r="E3432" s="639">
        <v>4500000</v>
      </c>
      <c r="F3432" s="501">
        <f t="shared" si="2535"/>
        <v>4950000</v>
      </c>
      <c r="G3432" s="638">
        <f t="shared" si="2535"/>
        <v>5445000</v>
      </c>
      <c r="H3432" s="132"/>
    </row>
    <row r="3433" spans="1:8" s="290" customFormat="1" outlineLevel="2">
      <c r="A3433" s="505"/>
      <c r="B3433" s="505"/>
      <c r="C3433" s="441">
        <v>2211100</v>
      </c>
      <c r="D3433" s="320" t="s">
        <v>49</v>
      </c>
      <c r="E3433" s="637">
        <f>E3434+E3435</f>
        <v>592000</v>
      </c>
      <c r="F3433" s="501">
        <f t="shared" si="2535"/>
        <v>651200</v>
      </c>
      <c r="G3433" s="638">
        <f t="shared" si="2535"/>
        <v>716320</v>
      </c>
      <c r="H3433" s="132"/>
    </row>
    <row r="3434" spans="1:8" s="290" customFormat="1" outlineLevel="2">
      <c r="A3434" s="505"/>
      <c r="B3434" s="505"/>
      <c r="C3434" s="355">
        <v>2211101</v>
      </c>
      <c r="D3434" s="505" t="s">
        <v>87</v>
      </c>
      <c r="E3434" s="639">
        <v>360000</v>
      </c>
      <c r="F3434" s="501">
        <f t="shared" si="2535"/>
        <v>396000.00000000006</v>
      </c>
      <c r="G3434" s="638">
        <f t="shared" si="2535"/>
        <v>435600.00000000012</v>
      </c>
      <c r="H3434" s="132"/>
    </row>
    <row r="3435" spans="1:8" s="290" customFormat="1" outlineLevel="2">
      <c r="A3435" s="505"/>
      <c r="B3435" s="505"/>
      <c r="C3435" s="355">
        <v>2211102</v>
      </c>
      <c r="D3435" s="505" t="s">
        <v>51</v>
      </c>
      <c r="E3435" s="639">
        <v>232000</v>
      </c>
      <c r="F3435" s="501">
        <f t="shared" si="2535"/>
        <v>255200.00000000003</v>
      </c>
      <c r="G3435" s="638">
        <f t="shared" si="2535"/>
        <v>280720.00000000006</v>
      </c>
      <c r="H3435" s="132"/>
    </row>
    <row r="3436" spans="1:8" s="290" customFormat="1" outlineLevel="2">
      <c r="A3436" s="505"/>
      <c r="B3436" s="505"/>
      <c r="C3436" s="441">
        <v>2211200</v>
      </c>
      <c r="D3436" s="320" t="s">
        <v>53</v>
      </c>
      <c r="E3436" s="637">
        <f>E3437</f>
        <v>235000</v>
      </c>
      <c r="F3436" s="501">
        <f t="shared" si="2535"/>
        <v>258500.00000000003</v>
      </c>
      <c r="G3436" s="638">
        <f t="shared" si="2535"/>
        <v>284350.00000000006</v>
      </c>
      <c r="H3436" s="132"/>
    </row>
    <row r="3437" spans="1:8" s="290" customFormat="1" outlineLevel="2">
      <c r="A3437" s="505"/>
      <c r="B3437" s="505"/>
      <c r="C3437" s="355">
        <v>2211201</v>
      </c>
      <c r="D3437" s="505" t="s">
        <v>91</v>
      </c>
      <c r="E3437" s="639">
        <v>235000</v>
      </c>
      <c r="F3437" s="501">
        <f t="shared" si="2535"/>
        <v>258500.00000000003</v>
      </c>
      <c r="G3437" s="638">
        <f t="shared" si="2535"/>
        <v>284350.00000000006</v>
      </c>
      <c r="H3437" s="132"/>
    </row>
    <row r="3438" spans="1:8" s="290" customFormat="1" outlineLevel="2">
      <c r="A3438" s="505"/>
      <c r="B3438" s="505"/>
      <c r="C3438" s="441">
        <v>2220200</v>
      </c>
      <c r="D3438" s="320" t="s">
        <v>114</v>
      </c>
      <c r="E3438" s="637">
        <f>E3439</f>
        <v>240200</v>
      </c>
      <c r="F3438" s="501">
        <f t="shared" si="2535"/>
        <v>264220</v>
      </c>
      <c r="G3438" s="638">
        <f t="shared" si="2535"/>
        <v>290642</v>
      </c>
      <c r="H3438" s="132"/>
    </row>
    <row r="3439" spans="1:8" s="290" customFormat="1" outlineLevel="2">
      <c r="A3439" s="505"/>
      <c r="B3439" s="505"/>
      <c r="C3439" s="355">
        <v>2220202</v>
      </c>
      <c r="D3439" s="505" t="s">
        <v>63</v>
      </c>
      <c r="E3439" s="639">
        <v>240200</v>
      </c>
      <c r="F3439" s="501">
        <f t="shared" si="2535"/>
        <v>264220</v>
      </c>
      <c r="G3439" s="638">
        <f t="shared" si="2535"/>
        <v>290642</v>
      </c>
      <c r="H3439" s="132"/>
    </row>
    <row r="3440" spans="1:8" s="290" customFormat="1" outlineLevel="2">
      <c r="A3440" s="505"/>
      <c r="B3440" s="505"/>
      <c r="C3440" s="441">
        <v>3111000</v>
      </c>
      <c r="D3440" s="320" t="s">
        <v>65</v>
      </c>
      <c r="E3440" s="637">
        <f>E3441</f>
        <v>450000</v>
      </c>
      <c r="F3440" s="501">
        <f t="shared" si="2535"/>
        <v>495000.00000000006</v>
      </c>
      <c r="G3440" s="638">
        <f t="shared" si="2535"/>
        <v>544500.00000000012</v>
      </c>
      <c r="H3440" s="132"/>
    </row>
    <row r="3441" spans="1:8" s="290" customFormat="1" outlineLevel="2">
      <c r="A3441" s="505"/>
      <c r="B3441" s="505"/>
      <c r="C3441" s="355">
        <v>3111002</v>
      </c>
      <c r="D3441" s="505" t="s">
        <v>67</v>
      </c>
      <c r="E3441" s="639">
        <v>450000</v>
      </c>
      <c r="F3441" s="501">
        <f t="shared" si="2535"/>
        <v>495000.00000000006</v>
      </c>
      <c r="G3441" s="638">
        <f t="shared" si="2535"/>
        <v>544500.00000000012</v>
      </c>
      <c r="H3441" s="132"/>
    </row>
    <row r="3442" spans="1:8" s="290" customFormat="1" outlineLevel="1">
      <c r="A3442" s="505"/>
      <c r="B3442" s="505"/>
      <c r="C3442" s="438"/>
      <c r="D3442" s="375" t="s">
        <v>101</v>
      </c>
      <c r="E3442" s="432">
        <f>E3440+E3438+E3436+E3433+E3430+E3425+E3422+E3417+E3415</f>
        <v>26453529.04779882</v>
      </c>
      <c r="F3442" s="501">
        <f t="shared" si="2535"/>
        <v>29098881.952578705</v>
      </c>
      <c r="G3442" s="638">
        <f t="shared" si="2535"/>
        <v>32008770.147836577</v>
      </c>
      <c r="H3442" s="132"/>
    </row>
    <row r="3443" spans="1:8" s="290" customFormat="1" outlineLevel="1">
      <c r="A3443" s="505"/>
      <c r="B3443" s="505"/>
      <c r="C3443" s="438"/>
      <c r="D3443" s="375" t="s">
        <v>924</v>
      </c>
      <c r="E3443" s="432">
        <f>E3442</f>
        <v>26453529.04779882</v>
      </c>
      <c r="F3443" s="501">
        <f t="shared" si="2535"/>
        <v>29098881.952578705</v>
      </c>
      <c r="G3443" s="638">
        <f t="shared" si="2535"/>
        <v>32008770.147836577</v>
      </c>
      <c r="H3443" s="132"/>
    </row>
    <row r="3444" spans="1:8" s="290" customFormat="1" outlineLevel="1">
      <c r="A3444" s="505"/>
      <c r="B3444" s="505"/>
      <c r="C3444" s="437"/>
      <c r="D3444" s="328"/>
      <c r="E3444" s="495"/>
      <c r="F3444" s="501">
        <f t="shared" si="2535"/>
        <v>0</v>
      </c>
      <c r="G3444" s="638">
        <f t="shared" si="2535"/>
        <v>0</v>
      </c>
      <c r="H3444" s="132"/>
    </row>
    <row r="3445" spans="1:8" s="290" customFormat="1" outlineLevel="1">
      <c r="A3445" s="505"/>
      <c r="B3445" s="505"/>
      <c r="C3445" s="443" t="s">
        <v>925</v>
      </c>
      <c r="D3445" s="328"/>
      <c r="E3445" s="615"/>
      <c r="F3445" s="501">
        <f t="shared" si="2535"/>
        <v>0</v>
      </c>
      <c r="G3445" s="638">
        <f t="shared" si="2535"/>
        <v>0</v>
      </c>
      <c r="H3445" s="132"/>
    </row>
    <row r="3446" spans="1:8" s="290" customFormat="1" outlineLevel="2">
      <c r="A3446" s="505"/>
      <c r="B3446" s="505"/>
      <c r="C3446" s="441">
        <v>2210200</v>
      </c>
      <c r="D3446" s="320" t="s">
        <v>19</v>
      </c>
      <c r="E3446" s="637">
        <f>E3447</f>
        <v>5000</v>
      </c>
      <c r="F3446" s="501">
        <f t="shared" si="2535"/>
        <v>5500</v>
      </c>
      <c r="G3446" s="638">
        <f t="shared" si="2535"/>
        <v>6050.0000000000009</v>
      </c>
      <c r="H3446" s="132"/>
    </row>
    <row r="3447" spans="1:8" s="290" customFormat="1" outlineLevel="2">
      <c r="A3447" s="505"/>
      <c r="B3447" s="505"/>
      <c r="C3447" s="355">
        <v>2210201</v>
      </c>
      <c r="D3447" s="505" t="s">
        <v>158</v>
      </c>
      <c r="E3447" s="639">
        <v>5000</v>
      </c>
      <c r="F3447" s="501">
        <f t="shared" si="2535"/>
        <v>5500</v>
      </c>
      <c r="G3447" s="638">
        <f t="shared" si="2535"/>
        <v>6050.0000000000009</v>
      </c>
      <c r="H3447" s="132"/>
    </row>
    <row r="3448" spans="1:8" s="290" customFormat="1" outlineLevel="2">
      <c r="A3448" s="505"/>
      <c r="B3448" s="505"/>
      <c r="C3448" s="441">
        <v>2210300</v>
      </c>
      <c r="D3448" s="320" t="s">
        <v>23</v>
      </c>
      <c r="E3448" s="637">
        <f>E3449+E3450+E3451+E3452</f>
        <v>2795800</v>
      </c>
      <c r="F3448" s="501">
        <f t="shared" si="2535"/>
        <v>3075380.0000000005</v>
      </c>
      <c r="G3448" s="638">
        <f t="shared" si="2535"/>
        <v>3382918.0000000009</v>
      </c>
      <c r="H3448" s="132"/>
    </row>
    <row r="3449" spans="1:8" s="290" customFormat="1" outlineLevel="2">
      <c r="A3449" s="505"/>
      <c r="B3449" s="505"/>
      <c r="C3449" s="355">
        <v>2210301</v>
      </c>
      <c r="D3449" s="505" t="s">
        <v>24</v>
      </c>
      <c r="E3449" s="639">
        <v>290000</v>
      </c>
      <c r="F3449" s="501">
        <f t="shared" si="2535"/>
        <v>319000</v>
      </c>
      <c r="G3449" s="638">
        <f t="shared" si="2535"/>
        <v>350900</v>
      </c>
      <c r="H3449" s="132"/>
    </row>
    <row r="3450" spans="1:8" s="290" customFormat="1" outlineLevel="2">
      <c r="A3450" s="505"/>
      <c r="B3450" s="505"/>
      <c r="C3450" s="355">
        <v>2210302</v>
      </c>
      <c r="D3450" s="505" t="s">
        <v>25</v>
      </c>
      <c r="E3450" s="639">
        <f>1100800-400000</f>
        <v>700800</v>
      </c>
      <c r="F3450" s="501">
        <f t="shared" si="2535"/>
        <v>770880.00000000012</v>
      </c>
      <c r="G3450" s="638">
        <f t="shared" si="2535"/>
        <v>847968.00000000023</v>
      </c>
      <c r="H3450" s="132"/>
    </row>
    <row r="3451" spans="1:8" s="290" customFormat="1" outlineLevel="2">
      <c r="A3451" s="505"/>
      <c r="B3451" s="505"/>
      <c r="C3451" s="355">
        <v>2210303</v>
      </c>
      <c r="D3451" s="505" t="s">
        <v>926</v>
      </c>
      <c r="E3451" s="639">
        <v>1766000</v>
      </c>
      <c r="F3451" s="501">
        <f t="shared" si="2535"/>
        <v>1942600.0000000002</v>
      </c>
      <c r="G3451" s="638">
        <f t="shared" si="2535"/>
        <v>2136860.0000000005</v>
      </c>
      <c r="H3451" s="132"/>
    </row>
    <row r="3452" spans="1:8" s="290" customFormat="1" outlineLevel="2">
      <c r="A3452" s="505"/>
      <c r="B3452" s="505"/>
      <c r="C3452" s="355">
        <v>2210304</v>
      </c>
      <c r="D3452" s="505" t="s">
        <v>891</v>
      </c>
      <c r="E3452" s="639">
        <v>39000</v>
      </c>
      <c r="F3452" s="501">
        <f t="shared" si="2535"/>
        <v>42900</v>
      </c>
      <c r="G3452" s="638">
        <f t="shared" si="2535"/>
        <v>47190.000000000007</v>
      </c>
      <c r="H3452" s="132"/>
    </row>
    <row r="3453" spans="1:8" s="290" customFormat="1" outlineLevel="2">
      <c r="A3453" s="505"/>
      <c r="B3453" s="505"/>
      <c r="C3453" s="441">
        <v>2210500</v>
      </c>
      <c r="D3453" s="320" t="s">
        <v>30</v>
      </c>
      <c r="E3453" s="637">
        <f>E3454+E3455+E3456</f>
        <v>449000</v>
      </c>
      <c r="F3453" s="501">
        <f t="shared" si="2535"/>
        <v>493900.00000000006</v>
      </c>
      <c r="G3453" s="638">
        <f t="shared" si="2535"/>
        <v>543290.00000000012</v>
      </c>
      <c r="H3453" s="132"/>
    </row>
    <row r="3454" spans="1:8" s="290" customFormat="1" outlineLevel="2">
      <c r="A3454" s="505"/>
      <c r="B3454" s="505"/>
      <c r="C3454" s="355">
        <v>2210502</v>
      </c>
      <c r="D3454" s="505" t="s">
        <v>285</v>
      </c>
      <c r="E3454" s="639">
        <v>20000</v>
      </c>
      <c r="F3454" s="501">
        <f t="shared" si="2535"/>
        <v>22000</v>
      </c>
      <c r="G3454" s="638">
        <f t="shared" si="2535"/>
        <v>24200.000000000004</v>
      </c>
      <c r="H3454" s="132"/>
    </row>
    <row r="3455" spans="1:8" s="290" customFormat="1" outlineLevel="2">
      <c r="A3455" s="505"/>
      <c r="B3455" s="505"/>
      <c r="C3455" s="355">
        <v>2210503</v>
      </c>
      <c r="D3455" s="505" t="s">
        <v>31</v>
      </c>
      <c r="E3455" s="639">
        <v>110000</v>
      </c>
      <c r="F3455" s="501">
        <f t="shared" si="2535"/>
        <v>121000.00000000001</v>
      </c>
      <c r="G3455" s="638">
        <f t="shared" si="2535"/>
        <v>133100.00000000003</v>
      </c>
      <c r="H3455" s="132"/>
    </row>
    <row r="3456" spans="1:8" s="290" customFormat="1" outlineLevel="2">
      <c r="A3456" s="505"/>
      <c r="B3456" s="505"/>
      <c r="C3456" s="355">
        <v>2210504</v>
      </c>
      <c r="D3456" s="505" t="s">
        <v>212</v>
      </c>
      <c r="E3456" s="639">
        <v>319000</v>
      </c>
      <c r="F3456" s="501">
        <f t="shared" si="2535"/>
        <v>350900</v>
      </c>
      <c r="G3456" s="638">
        <f t="shared" si="2535"/>
        <v>385990.00000000006</v>
      </c>
      <c r="H3456" s="132"/>
    </row>
    <row r="3457" spans="1:8" s="290" customFormat="1" outlineLevel="2">
      <c r="A3457" s="505"/>
      <c r="B3457" s="505"/>
      <c r="C3457" s="441">
        <v>2210700</v>
      </c>
      <c r="D3457" s="320" t="s">
        <v>34</v>
      </c>
      <c r="E3457" s="637">
        <f>E3458+E3459+E3460+E3461</f>
        <v>620300</v>
      </c>
      <c r="F3457" s="501">
        <f t="shared" si="2535"/>
        <v>682330</v>
      </c>
      <c r="G3457" s="638">
        <f t="shared" si="2535"/>
        <v>750563.00000000012</v>
      </c>
      <c r="H3457" s="132"/>
    </row>
    <row r="3458" spans="1:8" s="290" customFormat="1" outlineLevel="2">
      <c r="A3458" s="505"/>
      <c r="B3458" s="505"/>
      <c r="C3458" s="355">
        <v>2210701</v>
      </c>
      <c r="D3458" s="505" t="s">
        <v>35</v>
      </c>
      <c r="E3458" s="639">
        <v>232000</v>
      </c>
      <c r="F3458" s="501">
        <f t="shared" si="2535"/>
        <v>255200.00000000003</v>
      </c>
      <c r="G3458" s="638">
        <f t="shared" si="2535"/>
        <v>280720.00000000006</v>
      </c>
      <c r="H3458" s="132"/>
    </row>
    <row r="3459" spans="1:8" s="290" customFormat="1" outlineLevel="2">
      <c r="A3459" s="505"/>
      <c r="B3459" s="505"/>
      <c r="C3459" s="355">
        <v>2210703</v>
      </c>
      <c r="D3459" s="505" t="s">
        <v>166</v>
      </c>
      <c r="E3459" s="639">
        <v>91900</v>
      </c>
      <c r="F3459" s="501">
        <f t="shared" si="2535"/>
        <v>101090.00000000001</v>
      </c>
      <c r="G3459" s="638">
        <f t="shared" si="2535"/>
        <v>111199.00000000003</v>
      </c>
      <c r="H3459" s="132"/>
    </row>
    <row r="3460" spans="1:8" s="290" customFormat="1" outlineLevel="2">
      <c r="A3460" s="505"/>
      <c r="B3460" s="505"/>
      <c r="C3460" s="355">
        <v>2210704</v>
      </c>
      <c r="D3460" s="505" t="s">
        <v>37</v>
      </c>
      <c r="E3460" s="639">
        <v>58000</v>
      </c>
      <c r="F3460" s="501">
        <f t="shared" si="2535"/>
        <v>63800.000000000007</v>
      </c>
      <c r="G3460" s="638">
        <f t="shared" si="2535"/>
        <v>70180.000000000015</v>
      </c>
      <c r="H3460" s="132"/>
    </row>
    <row r="3461" spans="1:8" s="290" customFormat="1" outlineLevel="2">
      <c r="A3461" s="505"/>
      <c r="B3461" s="505"/>
      <c r="C3461" s="355">
        <v>2210710</v>
      </c>
      <c r="D3461" s="505" t="s">
        <v>38</v>
      </c>
      <c r="E3461" s="639">
        <v>238400</v>
      </c>
      <c r="F3461" s="501">
        <f t="shared" si="2535"/>
        <v>262240</v>
      </c>
      <c r="G3461" s="638">
        <f t="shared" si="2535"/>
        <v>288464</v>
      </c>
      <c r="H3461" s="132"/>
    </row>
    <row r="3462" spans="1:8" s="290" customFormat="1" outlineLevel="2">
      <c r="A3462" s="505"/>
      <c r="B3462" s="505"/>
      <c r="C3462" s="441">
        <v>2211100</v>
      </c>
      <c r="D3462" s="320" t="s">
        <v>49</v>
      </c>
      <c r="E3462" s="637">
        <f>E3463+E3464</f>
        <v>70000</v>
      </c>
      <c r="F3462" s="501">
        <f t="shared" si="2535"/>
        <v>77000</v>
      </c>
      <c r="G3462" s="638">
        <f t="shared" si="2535"/>
        <v>84700</v>
      </c>
      <c r="H3462" s="132"/>
    </row>
    <row r="3463" spans="1:8" s="290" customFormat="1" outlineLevel="2">
      <c r="A3463" s="505"/>
      <c r="B3463" s="505"/>
      <c r="C3463" s="355">
        <v>2211101</v>
      </c>
      <c r="D3463" s="505" t="s">
        <v>87</v>
      </c>
      <c r="E3463" s="639">
        <v>20000</v>
      </c>
      <c r="F3463" s="501">
        <f t="shared" si="2535"/>
        <v>22000</v>
      </c>
      <c r="G3463" s="638">
        <f t="shared" si="2535"/>
        <v>24200.000000000004</v>
      </c>
      <c r="H3463" s="132"/>
    </row>
    <row r="3464" spans="1:8" s="290" customFormat="1" outlineLevel="2">
      <c r="A3464" s="505"/>
      <c r="B3464" s="505"/>
      <c r="C3464" s="355">
        <v>2211102</v>
      </c>
      <c r="D3464" s="505" t="s">
        <v>51</v>
      </c>
      <c r="E3464" s="639">
        <v>50000</v>
      </c>
      <c r="F3464" s="501">
        <f t="shared" si="2535"/>
        <v>55000.000000000007</v>
      </c>
      <c r="G3464" s="638">
        <f t="shared" si="2535"/>
        <v>60500.000000000015</v>
      </c>
      <c r="H3464" s="132"/>
    </row>
    <row r="3465" spans="1:8" s="290" customFormat="1" outlineLevel="2">
      <c r="A3465" s="505"/>
      <c r="B3465" s="505"/>
      <c r="C3465" s="441">
        <v>2211200</v>
      </c>
      <c r="D3465" s="320" t="s">
        <v>53</v>
      </c>
      <c r="E3465" s="637">
        <f>E3466</f>
        <v>7023.5089217269997</v>
      </c>
      <c r="F3465" s="501">
        <f t="shared" si="2535"/>
        <v>7725.8598138997004</v>
      </c>
      <c r="G3465" s="638">
        <f t="shared" si="2535"/>
        <v>8498.4457952896719</v>
      </c>
      <c r="H3465" s="132"/>
    </row>
    <row r="3466" spans="1:8" s="290" customFormat="1" outlineLevel="2">
      <c r="A3466" s="505"/>
      <c r="B3466" s="505"/>
      <c r="C3466" s="355">
        <v>2211201</v>
      </c>
      <c r="D3466" s="505" t="s">
        <v>91</v>
      </c>
      <c r="E3466" s="639">
        <v>7023.5089217269997</v>
      </c>
      <c r="F3466" s="501">
        <f t="shared" si="2535"/>
        <v>7725.8598138997004</v>
      </c>
      <c r="G3466" s="638">
        <f t="shared" si="2535"/>
        <v>8498.4457952896719</v>
      </c>
      <c r="H3466" s="132"/>
    </row>
    <row r="3467" spans="1:8" s="290" customFormat="1" outlineLevel="2">
      <c r="A3467" s="505"/>
      <c r="B3467" s="505"/>
      <c r="C3467" s="441">
        <v>2211300</v>
      </c>
      <c r="D3467" s="320" t="s">
        <v>55</v>
      </c>
      <c r="E3467" s="637">
        <f>E3468</f>
        <v>441100.491078272</v>
      </c>
      <c r="F3467" s="501">
        <f t="shared" si="2535"/>
        <v>485210.54018609924</v>
      </c>
      <c r="G3467" s="638">
        <f t="shared" si="2535"/>
        <v>533731.59420470917</v>
      </c>
      <c r="H3467" s="132"/>
    </row>
    <row r="3468" spans="1:8" s="290" customFormat="1" outlineLevel="2">
      <c r="A3468" s="505"/>
      <c r="B3468" s="505"/>
      <c r="C3468" s="355">
        <v>2211320</v>
      </c>
      <c r="D3468" s="505" t="s">
        <v>927</v>
      </c>
      <c r="E3468" s="639">
        <v>441100.491078272</v>
      </c>
      <c r="F3468" s="501">
        <f t="shared" si="2535"/>
        <v>485210.54018609924</v>
      </c>
      <c r="G3468" s="638">
        <f t="shared" si="2535"/>
        <v>533731.59420470917</v>
      </c>
      <c r="H3468" s="132"/>
    </row>
    <row r="3469" spans="1:8" s="290" customFormat="1" outlineLevel="2">
      <c r="A3469" s="505"/>
      <c r="B3469" s="505"/>
      <c r="C3469" s="441">
        <v>3111000</v>
      </c>
      <c r="D3469" s="320" t="s">
        <v>65</v>
      </c>
      <c r="E3469" s="637">
        <f>E3470</f>
        <v>85200</v>
      </c>
      <c r="F3469" s="501">
        <f t="shared" si="2535"/>
        <v>93720.000000000015</v>
      </c>
      <c r="G3469" s="638">
        <f t="shared" si="2535"/>
        <v>103092.00000000003</v>
      </c>
      <c r="H3469" s="132"/>
    </row>
    <row r="3470" spans="1:8" s="290" customFormat="1" outlineLevel="2">
      <c r="A3470" s="505"/>
      <c r="B3470" s="505"/>
      <c r="C3470" s="355">
        <v>3111002</v>
      </c>
      <c r="D3470" s="505" t="s">
        <v>67</v>
      </c>
      <c r="E3470" s="639">
        <v>85200</v>
      </c>
      <c r="F3470" s="501">
        <f t="shared" si="2535"/>
        <v>93720.000000000015</v>
      </c>
      <c r="G3470" s="638">
        <f t="shared" si="2535"/>
        <v>103092.00000000003</v>
      </c>
      <c r="H3470" s="132"/>
    </row>
    <row r="3471" spans="1:8" s="290" customFormat="1" outlineLevel="2">
      <c r="A3471" s="505"/>
      <c r="B3471" s="505"/>
      <c r="C3471" s="438"/>
      <c r="D3471" s="375" t="s">
        <v>101</v>
      </c>
      <c r="E3471" s="432">
        <f>E3469+E3467+E3465+E3462+E3457+E3453+E3448+E3446</f>
        <v>4473423.9999999991</v>
      </c>
      <c r="F3471" s="501">
        <f t="shared" si="2535"/>
        <v>4920766.3999999994</v>
      </c>
      <c r="G3471" s="638">
        <f t="shared" si="2535"/>
        <v>5412843.04</v>
      </c>
      <c r="H3471" s="132"/>
    </row>
    <row r="3472" spans="1:8" s="290" customFormat="1" outlineLevel="2">
      <c r="A3472" s="505"/>
      <c r="B3472" s="505"/>
      <c r="C3472" s="438"/>
      <c r="D3472" s="375" t="s">
        <v>808</v>
      </c>
      <c r="E3472" s="432">
        <f>E3471</f>
        <v>4473423.9999999991</v>
      </c>
      <c r="F3472" s="501">
        <f t="shared" si="2535"/>
        <v>4920766.3999999994</v>
      </c>
      <c r="G3472" s="638">
        <f t="shared" si="2535"/>
        <v>5412843.04</v>
      </c>
      <c r="H3472" s="132"/>
    </row>
    <row r="3473" spans="1:8" s="290" customFormat="1" outlineLevel="1">
      <c r="A3473" s="505"/>
      <c r="B3473" s="505"/>
      <c r="C3473" s="438"/>
      <c r="D3473" s="375" t="s">
        <v>928</v>
      </c>
      <c r="E3473" s="432">
        <f>E3471+E3442+E3412</f>
        <v>466732712.99999994</v>
      </c>
      <c r="F3473" s="501">
        <f t="shared" si="2535"/>
        <v>513405984.29999995</v>
      </c>
      <c r="G3473" s="638">
        <f t="shared" si="2535"/>
        <v>564746582.73000002</v>
      </c>
      <c r="H3473" s="132"/>
    </row>
    <row r="3474" spans="1:8" s="290" customFormat="1">
      <c r="A3474" s="505"/>
      <c r="B3474" s="505"/>
      <c r="C3474" s="478"/>
      <c r="D3474" s="375" t="s">
        <v>101</v>
      </c>
      <c r="E3474" s="432">
        <f>E3362+E3337+E3294+E3471+E3442+E3267+E3406+E3220</f>
        <v>395722155.49107826</v>
      </c>
      <c r="F3474" s="432">
        <f>F3362+F3337+F3294+F3471+F3442+F3267+F3406+F3220</f>
        <v>435294371.04018617</v>
      </c>
      <c r="G3474" s="432">
        <f>G3362+G3337+G3294+G3471+G3442+G3267+G3406+G3220</f>
        <v>478823808.1442048</v>
      </c>
      <c r="H3474" s="132"/>
    </row>
    <row r="3475" spans="1:8" s="290" customFormat="1">
      <c r="A3475" s="505"/>
      <c r="B3475" s="505"/>
      <c r="C3475" s="478"/>
      <c r="D3475" s="375" t="s">
        <v>201</v>
      </c>
      <c r="E3475" s="432">
        <f>E3224+E3411</f>
        <v>451000000</v>
      </c>
      <c r="F3475" s="432">
        <f>F3224+F3411</f>
        <v>496100000.00000006</v>
      </c>
      <c r="G3475" s="432">
        <f>G3224+G3411</f>
        <v>545710000.00000012</v>
      </c>
      <c r="H3475" s="132"/>
    </row>
    <row r="3476" spans="1:8" s="290" customFormat="1">
      <c r="A3476" s="505"/>
      <c r="B3476" s="505"/>
      <c r="C3476" s="804" t="s">
        <v>929</v>
      </c>
      <c r="D3476" s="805"/>
      <c r="E3476" s="432">
        <f>E3474+E3475</f>
        <v>846722155.49107826</v>
      </c>
      <c r="F3476" s="432">
        <f t="shared" ref="F3476:G3476" si="2536">F3474+F3475</f>
        <v>931394371.04018617</v>
      </c>
      <c r="G3476" s="432">
        <f t="shared" si="2536"/>
        <v>1024533808.1442049</v>
      </c>
      <c r="H3476" s="132"/>
    </row>
    <row r="3477" spans="1:8">
      <c r="A3477" s="632"/>
      <c r="B3477" s="621"/>
      <c r="C3477" s="635"/>
      <c r="D3477" s="635"/>
      <c r="E3477" s="432"/>
      <c r="F3477" s="324"/>
      <c r="G3477" s="324"/>
    </row>
    <row r="3478" spans="1:8">
      <c r="A3478" s="632"/>
      <c r="B3478" s="621"/>
      <c r="C3478" s="635"/>
      <c r="D3478" s="635"/>
      <c r="E3478" s="432"/>
      <c r="F3478" s="324"/>
      <c r="G3478" s="324"/>
    </row>
    <row r="3479" spans="1:8">
      <c r="A3479" s="632"/>
      <c r="B3479" s="621"/>
      <c r="C3479" s="635"/>
      <c r="D3479" s="635"/>
      <c r="E3479" s="432"/>
      <c r="F3479" s="324"/>
      <c r="G3479" s="324"/>
    </row>
    <row r="3480" spans="1:8" s="300" customFormat="1">
      <c r="A3480" s="429"/>
      <c r="B3480" s="429"/>
      <c r="C3480" s="438" t="s">
        <v>930</v>
      </c>
      <c r="D3480" s="429"/>
      <c r="E3480" s="597"/>
      <c r="F3480" s="597"/>
      <c r="G3480" s="597"/>
      <c r="H3480" s="132"/>
    </row>
    <row r="3481" spans="1:8" s="300" customFormat="1" outlineLevel="1">
      <c r="A3481" s="429"/>
      <c r="B3481" s="429"/>
      <c r="C3481" s="539" t="s">
        <v>314</v>
      </c>
      <c r="D3481" s="429"/>
      <c r="E3481" s="597"/>
      <c r="F3481" s="597">
        <f t="shared" ref="F3481:G3481" si="2537">E3481*1.1</f>
        <v>0</v>
      </c>
      <c r="G3481" s="597">
        <f t="shared" si="2537"/>
        <v>0</v>
      </c>
      <c r="H3481" s="132"/>
    </row>
    <row r="3482" spans="1:8" s="300" customFormat="1" outlineLevel="1">
      <c r="A3482" s="429"/>
      <c r="B3482" s="429"/>
      <c r="C3482" s="539" t="s">
        <v>315</v>
      </c>
      <c r="D3482" s="429"/>
      <c r="E3482" s="597"/>
      <c r="F3482" s="597">
        <f t="shared" ref="F3482:G3482" si="2538">E3482*1.1</f>
        <v>0</v>
      </c>
      <c r="G3482" s="597">
        <f t="shared" si="2538"/>
        <v>0</v>
      </c>
      <c r="H3482" s="132"/>
    </row>
    <row r="3483" spans="1:8" s="300" customFormat="1" outlineLevel="2">
      <c r="A3483" s="429"/>
      <c r="B3483" s="429"/>
      <c r="C3483" s="539">
        <v>2110100</v>
      </c>
      <c r="D3483" s="429" t="s">
        <v>13</v>
      </c>
      <c r="E3483" s="597">
        <f>E3484</f>
        <v>273475469</v>
      </c>
      <c r="F3483" s="597">
        <f t="shared" ref="F3483:G3483" si="2539">E3483*1.1</f>
        <v>300823015.90000004</v>
      </c>
      <c r="G3483" s="597">
        <f t="shared" si="2539"/>
        <v>330905317.49000007</v>
      </c>
      <c r="H3483" s="132"/>
    </row>
    <row r="3484" spans="1:8" s="289" customFormat="1" outlineLevel="2">
      <c r="A3484" s="382"/>
      <c r="B3484" s="382"/>
      <c r="C3484" s="512">
        <v>2110101</v>
      </c>
      <c r="D3484" s="382" t="s">
        <v>316</v>
      </c>
      <c r="E3484" s="319">
        <v>273475469</v>
      </c>
      <c r="F3484" s="597">
        <f t="shared" ref="F3484:G3484" si="2540">E3484*1.1</f>
        <v>300823015.90000004</v>
      </c>
      <c r="G3484" s="597">
        <f t="shared" si="2540"/>
        <v>330905317.49000007</v>
      </c>
      <c r="H3484" s="132"/>
    </row>
    <row r="3485" spans="1:8" s="300" customFormat="1" outlineLevel="2">
      <c r="A3485" s="429"/>
      <c r="B3485" s="429"/>
      <c r="C3485" s="539">
        <v>2210100</v>
      </c>
      <c r="D3485" s="429" t="s">
        <v>16</v>
      </c>
      <c r="E3485" s="597">
        <f>SUM(E3486:E3487)</f>
        <v>268200</v>
      </c>
      <c r="F3485" s="597">
        <f t="shared" ref="F3485:G3485" si="2541">E3485*1.1</f>
        <v>295020</v>
      </c>
      <c r="G3485" s="597">
        <f t="shared" si="2541"/>
        <v>324522</v>
      </c>
      <c r="H3485" s="132"/>
    </row>
    <row r="3486" spans="1:8" s="289" customFormat="1" outlineLevel="2">
      <c r="A3486" s="382"/>
      <c r="B3486" s="382"/>
      <c r="C3486" s="512">
        <v>2210101</v>
      </c>
      <c r="D3486" s="382" t="s">
        <v>17</v>
      </c>
      <c r="E3486" s="319">
        <v>152200</v>
      </c>
      <c r="F3486" s="597">
        <f t="shared" ref="F3486:G3486" si="2542">E3486*1.1</f>
        <v>167420</v>
      </c>
      <c r="G3486" s="597">
        <f t="shared" si="2542"/>
        <v>184162.00000000003</v>
      </c>
      <c r="H3486" s="132"/>
    </row>
    <row r="3487" spans="1:8" s="289" customFormat="1" outlineLevel="2">
      <c r="A3487" s="382"/>
      <c r="B3487" s="382"/>
      <c r="C3487" s="512">
        <v>2210102</v>
      </c>
      <c r="D3487" s="382" t="s">
        <v>18</v>
      </c>
      <c r="E3487" s="319">
        <v>116000</v>
      </c>
      <c r="F3487" s="597">
        <f t="shared" ref="F3487:G3487" si="2543">E3487*1.1</f>
        <v>127600.00000000001</v>
      </c>
      <c r="G3487" s="597">
        <f t="shared" si="2543"/>
        <v>140360.00000000003</v>
      </c>
      <c r="H3487" s="132"/>
    </row>
    <row r="3488" spans="1:8" s="300" customFormat="1" outlineLevel="2">
      <c r="A3488" s="429"/>
      <c r="B3488" s="429"/>
      <c r="C3488" s="539">
        <v>2210200</v>
      </c>
      <c r="D3488" s="429" t="s">
        <v>19</v>
      </c>
      <c r="E3488" s="597">
        <f>SUM(E3489:E3490)</f>
        <v>380198</v>
      </c>
      <c r="F3488" s="597">
        <f t="shared" ref="F3488:G3488" si="2544">E3488*1.1</f>
        <v>418217.80000000005</v>
      </c>
      <c r="G3488" s="597">
        <f t="shared" si="2544"/>
        <v>460039.58000000007</v>
      </c>
      <c r="H3488" s="132"/>
    </row>
    <row r="3489" spans="1:8" s="289" customFormat="1" outlineLevel="2">
      <c r="A3489" s="382"/>
      <c r="B3489" s="382"/>
      <c r="C3489" s="512">
        <v>2210201</v>
      </c>
      <c r="D3489" s="382" t="s">
        <v>20</v>
      </c>
      <c r="E3489" s="319">
        <v>356998</v>
      </c>
      <c r="F3489" s="597">
        <f t="shared" ref="F3489:G3489" si="2545">E3489*1.1</f>
        <v>392697.80000000005</v>
      </c>
      <c r="G3489" s="597">
        <f t="shared" si="2545"/>
        <v>431967.58000000007</v>
      </c>
      <c r="H3489" s="132"/>
    </row>
    <row r="3490" spans="1:8" s="289" customFormat="1" outlineLevel="2">
      <c r="A3490" s="382"/>
      <c r="B3490" s="382"/>
      <c r="C3490" s="512">
        <v>2210203</v>
      </c>
      <c r="D3490" s="382" t="s">
        <v>22</v>
      </c>
      <c r="E3490" s="319">
        <v>23200</v>
      </c>
      <c r="F3490" s="597">
        <f t="shared" ref="F3490:G3490" si="2546">E3490*1.1</f>
        <v>25520.000000000004</v>
      </c>
      <c r="G3490" s="597">
        <f t="shared" si="2546"/>
        <v>28072.000000000007</v>
      </c>
      <c r="H3490" s="132"/>
    </row>
    <row r="3491" spans="1:8" s="300" customFormat="1" outlineLevel="2">
      <c r="A3491" s="429"/>
      <c r="B3491" s="429"/>
      <c r="C3491" s="539">
        <v>2210300</v>
      </c>
      <c r="D3491" s="429" t="s">
        <v>318</v>
      </c>
      <c r="E3491" s="597">
        <f>SUM(E3492:E3494)</f>
        <v>482133</v>
      </c>
      <c r="F3491" s="597">
        <f t="shared" ref="F3491:G3491" si="2547">E3491*1.1</f>
        <v>530346.30000000005</v>
      </c>
      <c r="G3491" s="597">
        <f t="shared" si="2547"/>
        <v>583380.93000000005</v>
      </c>
      <c r="H3491" s="132"/>
    </row>
    <row r="3492" spans="1:8" s="289" customFormat="1" outlineLevel="2">
      <c r="A3492" s="382"/>
      <c r="B3492" s="382"/>
      <c r="C3492" s="512">
        <v>2210301</v>
      </c>
      <c r="D3492" s="382" t="s">
        <v>319</v>
      </c>
      <c r="E3492" s="319">
        <v>152985</v>
      </c>
      <c r="F3492" s="597">
        <f t="shared" ref="F3492:G3492" si="2548">E3492*1.1</f>
        <v>168283.5</v>
      </c>
      <c r="G3492" s="597">
        <f t="shared" si="2548"/>
        <v>185111.85</v>
      </c>
      <c r="H3492" s="132"/>
    </row>
    <row r="3493" spans="1:8" s="289" customFormat="1" outlineLevel="2">
      <c r="A3493" s="382"/>
      <c r="B3493" s="382"/>
      <c r="C3493" s="512">
        <v>2210302</v>
      </c>
      <c r="D3493" s="382" t="s">
        <v>320</v>
      </c>
      <c r="E3493" s="319">
        <v>147803</v>
      </c>
      <c r="F3493" s="597">
        <f t="shared" ref="F3493:G3493" si="2549">E3493*1.1</f>
        <v>162583.30000000002</v>
      </c>
      <c r="G3493" s="597">
        <f t="shared" si="2549"/>
        <v>178841.63000000003</v>
      </c>
      <c r="H3493" s="132"/>
    </row>
    <row r="3494" spans="1:8" s="289" customFormat="1" outlineLevel="2">
      <c r="A3494" s="382"/>
      <c r="B3494" s="382"/>
      <c r="C3494" s="512">
        <v>2210303</v>
      </c>
      <c r="D3494" s="382" t="s">
        <v>26</v>
      </c>
      <c r="E3494" s="319">
        <v>181345</v>
      </c>
      <c r="F3494" s="597">
        <f t="shared" ref="F3494:G3494" si="2550">E3494*1.1</f>
        <v>199479.50000000003</v>
      </c>
      <c r="G3494" s="597">
        <f t="shared" si="2550"/>
        <v>219427.45000000004</v>
      </c>
      <c r="H3494" s="132"/>
    </row>
    <row r="3495" spans="1:8" s="300" customFormat="1" outlineLevel="2">
      <c r="A3495" s="429"/>
      <c r="B3495" s="429"/>
      <c r="C3495" s="539">
        <v>2210400</v>
      </c>
      <c r="D3495" s="429" t="s">
        <v>209</v>
      </c>
      <c r="E3495" s="597">
        <f>SUM(E3496:E3498)</f>
        <v>417965</v>
      </c>
      <c r="F3495" s="597">
        <f t="shared" ref="F3495:G3495" si="2551">E3495*1.1</f>
        <v>459761.50000000006</v>
      </c>
      <c r="G3495" s="597">
        <f t="shared" si="2551"/>
        <v>505737.65000000008</v>
      </c>
      <c r="H3495" s="132"/>
    </row>
    <row r="3496" spans="1:8" s="289" customFormat="1" outlineLevel="2">
      <c r="A3496" s="382"/>
      <c r="B3496" s="382"/>
      <c r="C3496" s="512">
        <v>2210401</v>
      </c>
      <c r="D3496" s="382" t="s">
        <v>210</v>
      </c>
      <c r="E3496" s="319">
        <v>118000</v>
      </c>
      <c r="F3496" s="597">
        <f t="shared" ref="F3496:G3496" si="2552">E3496*1.1</f>
        <v>129800.00000000001</v>
      </c>
      <c r="G3496" s="597">
        <f t="shared" si="2552"/>
        <v>142780.00000000003</v>
      </c>
      <c r="H3496" s="132"/>
    </row>
    <row r="3497" spans="1:8" s="289" customFormat="1" outlineLevel="2">
      <c r="A3497" s="382"/>
      <c r="B3497" s="382"/>
      <c r="C3497" s="512">
        <v>2210402</v>
      </c>
      <c r="D3497" s="382" t="s">
        <v>321</v>
      </c>
      <c r="E3497" s="319">
        <v>254365</v>
      </c>
      <c r="F3497" s="597">
        <f t="shared" ref="F3497:G3497" si="2553">E3497*1.1</f>
        <v>279801.5</v>
      </c>
      <c r="G3497" s="597">
        <f t="shared" si="2553"/>
        <v>307781.65000000002</v>
      </c>
      <c r="H3497" s="132"/>
    </row>
    <row r="3498" spans="1:8" s="289" customFormat="1" outlineLevel="2">
      <c r="A3498" s="382"/>
      <c r="B3498" s="382"/>
      <c r="C3498" s="512">
        <v>2210403</v>
      </c>
      <c r="D3498" s="382" t="s">
        <v>27</v>
      </c>
      <c r="E3498" s="319">
        <v>45600</v>
      </c>
      <c r="F3498" s="597">
        <f t="shared" ref="F3498:G3498" si="2554">E3498*1.1</f>
        <v>50160.000000000007</v>
      </c>
      <c r="G3498" s="597">
        <f t="shared" si="2554"/>
        <v>55176.000000000015</v>
      </c>
      <c r="H3498" s="132"/>
    </row>
    <row r="3499" spans="1:8" s="300" customFormat="1" outlineLevel="2">
      <c r="A3499" s="429"/>
      <c r="B3499" s="429"/>
      <c r="C3499" s="539">
        <v>2210500</v>
      </c>
      <c r="D3499" s="429" t="s">
        <v>931</v>
      </c>
      <c r="E3499" s="597">
        <f>SUM(E3500:E3502)</f>
        <v>1077465</v>
      </c>
      <c r="F3499" s="597">
        <f t="shared" ref="F3499:G3499" si="2555">E3499*1.1</f>
        <v>1185211.5</v>
      </c>
      <c r="G3499" s="597">
        <f t="shared" si="2555"/>
        <v>1303732.6500000001</v>
      </c>
      <c r="H3499" s="132"/>
    </row>
    <row r="3500" spans="1:8" s="289" customFormat="1" outlineLevel="2">
      <c r="A3500" s="382"/>
      <c r="B3500" s="382"/>
      <c r="C3500" s="512">
        <v>2210502</v>
      </c>
      <c r="D3500" s="382" t="s">
        <v>162</v>
      </c>
      <c r="E3500" s="319">
        <v>674908</v>
      </c>
      <c r="F3500" s="597">
        <f t="shared" ref="F3500:G3500" si="2556">E3500*1.1</f>
        <v>742398.8</v>
      </c>
      <c r="G3500" s="597">
        <f t="shared" si="2556"/>
        <v>816638.68000000017</v>
      </c>
      <c r="H3500" s="132"/>
    </row>
    <row r="3501" spans="1:8" s="289" customFormat="1" outlineLevel="2">
      <c r="A3501" s="382"/>
      <c r="B3501" s="382"/>
      <c r="C3501" s="512">
        <v>2210503</v>
      </c>
      <c r="D3501" s="382" t="s">
        <v>31</v>
      </c>
      <c r="E3501" s="319">
        <v>22514</v>
      </c>
      <c r="F3501" s="597">
        <f t="shared" ref="F3501:G3501" si="2557">E3501*1.1</f>
        <v>24765.4</v>
      </c>
      <c r="G3501" s="597">
        <f t="shared" si="2557"/>
        <v>27241.940000000002</v>
      </c>
      <c r="H3501" s="132"/>
    </row>
    <row r="3502" spans="1:8" s="289" customFormat="1" outlineLevel="2">
      <c r="A3502" s="382"/>
      <c r="B3502" s="382"/>
      <c r="C3502" s="512">
        <v>2210504</v>
      </c>
      <c r="D3502" s="382" t="s">
        <v>32</v>
      </c>
      <c r="E3502" s="319">
        <v>380043</v>
      </c>
      <c r="F3502" s="597">
        <f t="shared" ref="F3502:G3502" si="2558">E3502*1.1</f>
        <v>418047.30000000005</v>
      </c>
      <c r="G3502" s="597">
        <f t="shared" si="2558"/>
        <v>459852.03000000009</v>
      </c>
      <c r="H3502" s="132"/>
    </row>
    <row r="3503" spans="1:8" s="300" customFormat="1" outlineLevel="2">
      <c r="A3503" s="429"/>
      <c r="B3503" s="429"/>
      <c r="C3503" s="539">
        <v>2210700</v>
      </c>
      <c r="D3503" s="429" t="s">
        <v>322</v>
      </c>
      <c r="E3503" s="597">
        <f>SUM(E3504:E3507)</f>
        <v>729499</v>
      </c>
      <c r="F3503" s="597">
        <f t="shared" ref="F3503:G3503" si="2559">E3503*1.1</f>
        <v>802448.9</v>
      </c>
      <c r="G3503" s="597">
        <f t="shared" si="2559"/>
        <v>882693.79000000015</v>
      </c>
      <c r="H3503" s="132"/>
    </row>
    <row r="3504" spans="1:8" s="289" customFormat="1" outlineLevel="2">
      <c r="A3504" s="382"/>
      <c r="B3504" s="382"/>
      <c r="C3504" s="512">
        <v>2210701</v>
      </c>
      <c r="D3504" s="382" t="s">
        <v>323</v>
      </c>
      <c r="E3504" s="319">
        <v>231825</v>
      </c>
      <c r="F3504" s="597">
        <f t="shared" ref="F3504:G3504" si="2560">E3504*1.1</f>
        <v>255007.50000000003</v>
      </c>
      <c r="G3504" s="597">
        <f t="shared" si="2560"/>
        <v>280508.25000000006</v>
      </c>
      <c r="H3504" s="132"/>
    </row>
    <row r="3505" spans="1:8" s="289" customFormat="1" outlineLevel="2">
      <c r="A3505" s="382"/>
      <c r="B3505" s="382"/>
      <c r="C3505" s="512">
        <v>2210703</v>
      </c>
      <c r="D3505" s="382" t="s">
        <v>324</v>
      </c>
      <c r="E3505" s="319">
        <v>121000</v>
      </c>
      <c r="F3505" s="597">
        <f t="shared" ref="F3505:G3505" si="2561">E3505*1.1</f>
        <v>133100</v>
      </c>
      <c r="G3505" s="597">
        <f t="shared" si="2561"/>
        <v>146410</v>
      </c>
      <c r="H3505" s="132"/>
    </row>
    <row r="3506" spans="1:8" s="289" customFormat="1" outlineLevel="2">
      <c r="A3506" s="382"/>
      <c r="B3506" s="382"/>
      <c r="C3506" s="512">
        <v>2210704</v>
      </c>
      <c r="D3506" s="382" t="s">
        <v>325</v>
      </c>
      <c r="E3506" s="319">
        <v>172674</v>
      </c>
      <c r="F3506" s="597">
        <f t="shared" ref="F3506:G3506" si="2562">E3506*1.1</f>
        <v>189941.40000000002</v>
      </c>
      <c r="G3506" s="597">
        <f t="shared" si="2562"/>
        <v>208935.54000000004</v>
      </c>
      <c r="H3506" s="132"/>
    </row>
    <row r="3507" spans="1:8" s="289" customFormat="1" outlineLevel="2">
      <c r="A3507" s="382"/>
      <c r="B3507" s="382"/>
      <c r="C3507" s="512">
        <v>2210710</v>
      </c>
      <c r="D3507" s="382" t="s">
        <v>38</v>
      </c>
      <c r="E3507" s="319">
        <v>204000</v>
      </c>
      <c r="F3507" s="597">
        <f t="shared" ref="F3507:G3507" si="2563">E3507*1.1</f>
        <v>224400.00000000003</v>
      </c>
      <c r="G3507" s="597">
        <f t="shared" si="2563"/>
        <v>246840.00000000006</v>
      </c>
      <c r="H3507" s="132"/>
    </row>
    <row r="3508" spans="1:8" s="300" customFormat="1" outlineLevel="2">
      <c r="A3508" s="429"/>
      <c r="B3508" s="429"/>
      <c r="C3508" s="539">
        <v>2210800</v>
      </c>
      <c r="D3508" s="429" t="s">
        <v>41</v>
      </c>
      <c r="E3508" s="597">
        <f>SUM(E3509:E3510)</f>
        <v>372823</v>
      </c>
      <c r="F3508" s="597">
        <f t="shared" ref="F3508:G3508" si="2564">E3508*1.1</f>
        <v>410105.30000000005</v>
      </c>
      <c r="G3508" s="597">
        <f t="shared" si="2564"/>
        <v>451115.83000000007</v>
      </c>
      <c r="H3508" s="132"/>
    </row>
    <row r="3509" spans="1:8" s="289" customFormat="1" outlineLevel="2">
      <c r="A3509" s="382"/>
      <c r="B3509" s="382"/>
      <c r="C3509" s="512">
        <v>2210801</v>
      </c>
      <c r="D3509" s="382" t="s">
        <v>112</v>
      </c>
      <c r="E3509" s="319">
        <v>165739</v>
      </c>
      <c r="F3509" s="597">
        <f t="shared" ref="F3509:G3509" si="2565">E3509*1.1</f>
        <v>182312.90000000002</v>
      </c>
      <c r="G3509" s="597">
        <f t="shared" si="2565"/>
        <v>200544.19000000003</v>
      </c>
      <c r="H3509" s="132"/>
    </row>
    <row r="3510" spans="1:8" s="289" customFormat="1" outlineLevel="2">
      <c r="A3510" s="382"/>
      <c r="B3510" s="382"/>
      <c r="C3510" s="512">
        <v>2210802</v>
      </c>
      <c r="D3510" s="382" t="s">
        <v>86</v>
      </c>
      <c r="E3510" s="319">
        <v>207084</v>
      </c>
      <c r="F3510" s="597">
        <f t="shared" ref="F3510:G3510" si="2566">E3510*1.1</f>
        <v>227792.40000000002</v>
      </c>
      <c r="G3510" s="597">
        <f t="shared" si="2566"/>
        <v>250571.64000000004</v>
      </c>
      <c r="H3510" s="132"/>
    </row>
    <row r="3511" spans="1:8" s="300" customFormat="1" outlineLevel="2">
      <c r="A3511" s="429"/>
      <c r="B3511" s="429"/>
      <c r="C3511" s="539">
        <v>2211100</v>
      </c>
      <c r="D3511" s="429" t="s">
        <v>327</v>
      </c>
      <c r="E3511" s="597">
        <f>SUM(E3512:E3514)</f>
        <v>652040</v>
      </c>
      <c r="F3511" s="597">
        <f t="shared" ref="F3511:G3511" si="2567">E3511*1.1</f>
        <v>717244</v>
      </c>
      <c r="G3511" s="597">
        <f t="shared" si="2567"/>
        <v>788968.4</v>
      </c>
      <c r="H3511" s="132"/>
    </row>
    <row r="3512" spans="1:8" s="289" customFormat="1" outlineLevel="2">
      <c r="A3512" s="382"/>
      <c r="B3512" s="382"/>
      <c r="C3512" s="512">
        <v>2211101</v>
      </c>
      <c r="D3512" s="382" t="s">
        <v>328</v>
      </c>
      <c r="E3512" s="319">
        <v>145765</v>
      </c>
      <c r="F3512" s="597">
        <f t="shared" ref="F3512:G3512" si="2568">E3512*1.1</f>
        <v>160341.5</v>
      </c>
      <c r="G3512" s="597">
        <f t="shared" si="2568"/>
        <v>176375.65000000002</v>
      </c>
      <c r="H3512" s="132"/>
    </row>
    <row r="3513" spans="1:8" s="289" customFormat="1" outlineLevel="2">
      <c r="A3513" s="382"/>
      <c r="B3513" s="382"/>
      <c r="C3513" s="512">
        <v>2211102</v>
      </c>
      <c r="D3513" s="382" t="s">
        <v>51</v>
      </c>
      <c r="E3513" s="319">
        <v>254705</v>
      </c>
      <c r="F3513" s="597">
        <f t="shared" ref="F3513:G3513" si="2569">E3513*1.1</f>
        <v>280175.5</v>
      </c>
      <c r="G3513" s="597">
        <f t="shared" si="2569"/>
        <v>308193.05000000005</v>
      </c>
      <c r="H3513" s="132"/>
    </row>
    <row r="3514" spans="1:8" s="289" customFormat="1" outlineLevel="2">
      <c r="A3514" s="382"/>
      <c r="B3514" s="382"/>
      <c r="C3514" s="512">
        <v>2211103</v>
      </c>
      <c r="D3514" s="382" t="s">
        <v>52</v>
      </c>
      <c r="E3514" s="319">
        <v>251570</v>
      </c>
      <c r="F3514" s="597">
        <f t="shared" ref="F3514:G3514" si="2570">E3514*1.1</f>
        <v>276727</v>
      </c>
      <c r="G3514" s="597">
        <f t="shared" si="2570"/>
        <v>304399.7</v>
      </c>
      <c r="H3514" s="132"/>
    </row>
    <row r="3515" spans="1:8" s="300" customFormat="1" outlineLevel="2">
      <c r="A3515" s="429"/>
      <c r="B3515" s="429"/>
      <c r="C3515" s="539">
        <v>2211200</v>
      </c>
      <c r="D3515" s="429" t="s">
        <v>53</v>
      </c>
      <c r="E3515" s="597">
        <f>E3516</f>
        <v>707940</v>
      </c>
      <c r="F3515" s="597">
        <f t="shared" ref="F3515:G3515" si="2571">E3515*1.1</f>
        <v>778734.00000000012</v>
      </c>
      <c r="G3515" s="597">
        <f t="shared" si="2571"/>
        <v>856607.40000000014</v>
      </c>
      <c r="H3515" s="132"/>
    </row>
    <row r="3516" spans="1:8" s="289" customFormat="1" outlineLevel="2">
      <c r="A3516" s="382"/>
      <c r="B3516" s="382"/>
      <c r="C3516" s="512">
        <v>2211201</v>
      </c>
      <c r="D3516" s="382" t="s">
        <v>91</v>
      </c>
      <c r="E3516" s="319">
        <v>707940</v>
      </c>
      <c r="F3516" s="597">
        <f t="shared" ref="F3516:G3516" si="2572">E3516*1.1</f>
        <v>778734.00000000012</v>
      </c>
      <c r="G3516" s="597">
        <f t="shared" si="2572"/>
        <v>856607.40000000014</v>
      </c>
      <c r="H3516" s="132"/>
    </row>
    <row r="3517" spans="1:8" s="300" customFormat="1" outlineLevel="2">
      <c r="A3517" s="429"/>
      <c r="B3517" s="429"/>
      <c r="C3517" s="539">
        <v>2220100</v>
      </c>
      <c r="D3517" s="429" t="s">
        <v>225</v>
      </c>
      <c r="E3517" s="597">
        <f>E3518</f>
        <v>1054321</v>
      </c>
      <c r="F3517" s="597">
        <f t="shared" ref="F3517:G3517" si="2573">E3517*1.1</f>
        <v>1159753.1000000001</v>
      </c>
      <c r="G3517" s="597">
        <f t="shared" si="2573"/>
        <v>1275728.4100000001</v>
      </c>
      <c r="H3517" s="132"/>
    </row>
    <row r="3518" spans="1:8" s="289" customFormat="1" outlineLevel="2">
      <c r="A3518" s="382"/>
      <c r="B3518" s="382"/>
      <c r="C3518" s="512">
        <v>2220101</v>
      </c>
      <c r="D3518" s="382" t="s">
        <v>225</v>
      </c>
      <c r="E3518" s="319">
        <v>1054321</v>
      </c>
      <c r="F3518" s="597">
        <f t="shared" ref="F3518:G3518" si="2574">E3518*1.1</f>
        <v>1159753.1000000001</v>
      </c>
      <c r="G3518" s="597">
        <f t="shared" si="2574"/>
        <v>1275728.4100000001</v>
      </c>
      <c r="H3518" s="132"/>
    </row>
    <row r="3519" spans="1:8" s="300" customFormat="1" outlineLevel="2">
      <c r="A3519" s="429"/>
      <c r="B3519" s="429"/>
      <c r="C3519" s="539">
        <v>2220200</v>
      </c>
      <c r="D3519" s="429" t="s">
        <v>179</v>
      </c>
      <c r="E3519" s="597">
        <f>SUM(E3520:E3521)</f>
        <v>941990</v>
      </c>
      <c r="F3519" s="597">
        <f t="shared" ref="F3519:G3519" si="2575">E3519*1.1</f>
        <v>1036189.0000000001</v>
      </c>
      <c r="G3519" s="597">
        <f t="shared" si="2575"/>
        <v>1139807.9000000001</v>
      </c>
      <c r="H3519" s="132"/>
    </row>
    <row r="3520" spans="1:8" s="289" customFormat="1" outlineLevel="2">
      <c r="A3520" s="382"/>
      <c r="B3520" s="382"/>
      <c r="C3520" s="512">
        <v>2220201</v>
      </c>
      <c r="D3520" s="382" t="s">
        <v>932</v>
      </c>
      <c r="E3520" s="319">
        <v>298660</v>
      </c>
      <c r="F3520" s="597">
        <f t="shared" ref="F3520:G3520" si="2576">E3520*1.1</f>
        <v>328526</v>
      </c>
      <c r="G3520" s="597">
        <f t="shared" si="2576"/>
        <v>361378.60000000003</v>
      </c>
      <c r="H3520" s="132"/>
    </row>
    <row r="3521" spans="1:8" s="289" customFormat="1" outlineLevel="2">
      <c r="A3521" s="382"/>
      <c r="B3521" s="382"/>
      <c r="C3521" s="512">
        <v>2220210</v>
      </c>
      <c r="D3521" s="382" t="s">
        <v>181</v>
      </c>
      <c r="E3521" s="319">
        <v>643330</v>
      </c>
      <c r="F3521" s="597">
        <f t="shared" ref="F3521:G3521" si="2577">E3521*1.1</f>
        <v>707663</v>
      </c>
      <c r="G3521" s="597">
        <f t="shared" si="2577"/>
        <v>778429.3</v>
      </c>
      <c r="H3521" s="132"/>
    </row>
    <row r="3522" spans="1:8" s="300" customFormat="1" outlineLevel="2">
      <c r="A3522" s="429"/>
      <c r="B3522" s="429"/>
      <c r="C3522" s="539">
        <v>3110300</v>
      </c>
      <c r="D3522" s="429" t="s">
        <v>342</v>
      </c>
      <c r="E3522" s="597">
        <f>E3523</f>
        <v>304560</v>
      </c>
      <c r="F3522" s="597">
        <f t="shared" ref="F3522:G3522" si="2578">E3522*1.1</f>
        <v>335016</v>
      </c>
      <c r="G3522" s="597">
        <f t="shared" si="2578"/>
        <v>368517.60000000003</v>
      </c>
      <c r="H3522" s="132"/>
    </row>
    <row r="3523" spans="1:8" s="289" customFormat="1" outlineLevel="2">
      <c r="A3523" s="382"/>
      <c r="B3523" s="382"/>
      <c r="C3523" s="512">
        <v>3110302</v>
      </c>
      <c r="D3523" s="382" t="s">
        <v>933</v>
      </c>
      <c r="E3523" s="319">
        <v>304560</v>
      </c>
      <c r="F3523" s="597">
        <f t="shared" ref="F3523:G3523" si="2579">E3523*1.1</f>
        <v>335016</v>
      </c>
      <c r="G3523" s="597">
        <f t="shared" si="2579"/>
        <v>368517.60000000003</v>
      </c>
      <c r="H3523" s="132"/>
    </row>
    <row r="3524" spans="1:8" s="300" customFormat="1" outlineLevel="2">
      <c r="A3524" s="429"/>
      <c r="B3524" s="429"/>
      <c r="C3524" s="539">
        <v>3111000</v>
      </c>
      <c r="D3524" s="429" t="s">
        <v>65</v>
      </c>
      <c r="E3524" s="597">
        <f>E3525</f>
        <v>157905</v>
      </c>
      <c r="F3524" s="597">
        <f t="shared" ref="F3524:G3524" si="2580">E3524*1.1</f>
        <v>173695.5</v>
      </c>
      <c r="G3524" s="597">
        <f t="shared" si="2580"/>
        <v>191065.05000000002</v>
      </c>
      <c r="H3524" s="132"/>
    </row>
    <row r="3525" spans="1:8" s="289" customFormat="1" outlineLevel="2">
      <c r="A3525" s="382"/>
      <c r="B3525" s="382"/>
      <c r="C3525" s="512">
        <v>3111002</v>
      </c>
      <c r="D3525" s="382" t="s">
        <v>67</v>
      </c>
      <c r="E3525" s="319">
        <v>157905</v>
      </c>
      <c r="F3525" s="597">
        <f t="shared" ref="F3525:G3525" si="2581">E3525*1.1</f>
        <v>173695.5</v>
      </c>
      <c r="G3525" s="597">
        <f t="shared" si="2581"/>
        <v>191065.05000000002</v>
      </c>
      <c r="H3525" s="132"/>
    </row>
    <row r="3526" spans="1:8" s="300" customFormat="1" outlineLevel="1">
      <c r="A3526" s="429"/>
      <c r="B3526" s="429"/>
      <c r="C3526" s="539"/>
      <c r="D3526" s="429" t="s">
        <v>329</v>
      </c>
      <c r="E3526" s="597">
        <f>E3524+E3522+E3519+E3517+E3515+E3511+E3508+E3503+E3499+E3495+E3491+E3488+E3485+E3483</f>
        <v>281022508</v>
      </c>
      <c r="F3526" s="597">
        <f t="shared" ref="F3526:G3526" si="2582">E3526*1.1</f>
        <v>309124758.80000001</v>
      </c>
      <c r="G3526" s="597">
        <f t="shared" si="2582"/>
        <v>340037234.68000007</v>
      </c>
      <c r="H3526" s="132"/>
    </row>
    <row r="3527" spans="1:8" s="289" customFormat="1" outlineLevel="1">
      <c r="A3527" s="382"/>
      <c r="B3527" s="382"/>
      <c r="C3527" s="512"/>
      <c r="D3527" s="382"/>
      <c r="E3527" s="319"/>
      <c r="F3527" s="597">
        <f t="shared" ref="F3527:G3527" si="2583">E3527*1.1</f>
        <v>0</v>
      </c>
      <c r="G3527" s="597">
        <f t="shared" si="2583"/>
        <v>0</v>
      </c>
      <c r="H3527" s="132"/>
    </row>
    <row r="3528" spans="1:8" s="300" customFormat="1" outlineLevel="1">
      <c r="A3528" s="429"/>
      <c r="B3528" s="429"/>
      <c r="C3528" s="539" t="s">
        <v>934</v>
      </c>
      <c r="D3528" s="429"/>
      <c r="E3528" s="597"/>
      <c r="F3528" s="597">
        <f t="shared" ref="F3528:G3528" si="2584">E3528*1.1</f>
        <v>0</v>
      </c>
      <c r="G3528" s="597">
        <f t="shared" si="2584"/>
        <v>0</v>
      </c>
      <c r="H3528" s="132"/>
    </row>
    <row r="3529" spans="1:8" s="300" customFormat="1" outlineLevel="1">
      <c r="A3529" s="429"/>
      <c r="B3529" s="429"/>
      <c r="C3529" s="539" t="s">
        <v>935</v>
      </c>
      <c r="D3529" s="429"/>
      <c r="E3529" s="597"/>
      <c r="F3529" s="597">
        <f t="shared" ref="F3529:G3529" si="2585">E3529*1.1</f>
        <v>0</v>
      </c>
      <c r="G3529" s="597">
        <f t="shared" si="2585"/>
        <v>0</v>
      </c>
      <c r="H3529" s="132"/>
    </row>
    <row r="3530" spans="1:8" s="300" customFormat="1" outlineLevel="3">
      <c r="A3530" s="429"/>
      <c r="B3530" s="429"/>
      <c r="C3530" s="539">
        <v>2210300</v>
      </c>
      <c r="D3530" s="429" t="s">
        <v>318</v>
      </c>
      <c r="E3530" s="597">
        <f>SUM(E3531:E3533)</f>
        <v>1427075</v>
      </c>
      <c r="F3530" s="597">
        <f t="shared" ref="F3530:G3530" si="2586">E3530*1.1</f>
        <v>1569782.5000000002</v>
      </c>
      <c r="G3530" s="597">
        <f t="shared" si="2586"/>
        <v>1726760.7500000005</v>
      </c>
      <c r="H3530" s="132"/>
    </row>
    <row r="3531" spans="1:8" s="289" customFormat="1" outlineLevel="3">
      <c r="A3531" s="382"/>
      <c r="B3531" s="382"/>
      <c r="C3531" s="512">
        <v>2210301</v>
      </c>
      <c r="D3531" s="382" t="s">
        <v>24</v>
      </c>
      <c r="E3531" s="319">
        <v>450986</v>
      </c>
      <c r="F3531" s="597">
        <f t="shared" ref="F3531:G3531" si="2587">E3531*1.1</f>
        <v>496084.60000000003</v>
      </c>
      <c r="G3531" s="597">
        <f t="shared" si="2587"/>
        <v>545693.06000000006</v>
      </c>
      <c r="H3531" s="132"/>
    </row>
    <row r="3532" spans="1:8" s="289" customFormat="1" outlineLevel="3">
      <c r="A3532" s="382"/>
      <c r="B3532" s="382"/>
      <c r="C3532" s="512">
        <v>2210302</v>
      </c>
      <c r="D3532" s="382" t="s">
        <v>632</v>
      </c>
      <c r="E3532" s="319">
        <v>725432</v>
      </c>
      <c r="F3532" s="597">
        <f t="shared" ref="F3532:G3532" si="2588">E3532*1.1</f>
        <v>797975.20000000007</v>
      </c>
      <c r="G3532" s="597">
        <f t="shared" si="2588"/>
        <v>877772.7200000002</v>
      </c>
      <c r="H3532" s="132"/>
    </row>
    <row r="3533" spans="1:8" s="289" customFormat="1" outlineLevel="3">
      <c r="A3533" s="382"/>
      <c r="B3533" s="382"/>
      <c r="C3533" s="512">
        <v>2210303</v>
      </c>
      <c r="D3533" s="382" t="s">
        <v>26</v>
      </c>
      <c r="E3533" s="319">
        <v>250657</v>
      </c>
      <c r="F3533" s="597">
        <f t="shared" ref="F3533:G3533" si="2589">E3533*1.1</f>
        <v>275722.7</v>
      </c>
      <c r="G3533" s="597">
        <f t="shared" si="2589"/>
        <v>303294.97000000003</v>
      </c>
      <c r="H3533" s="132"/>
    </row>
    <row r="3534" spans="1:8" s="300" customFormat="1" outlineLevel="3">
      <c r="A3534" s="429"/>
      <c r="B3534" s="429"/>
      <c r="C3534" s="539">
        <v>2210700</v>
      </c>
      <c r="D3534" s="429" t="s">
        <v>322</v>
      </c>
      <c r="E3534" s="597">
        <f>SUM(E3535:E3536)</f>
        <v>955203</v>
      </c>
      <c r="F3534" s="597">
        <f t="shared" ref="F3534:G3534" si="2590">E3534*1.1</f>
        <v>1050723.3</v>
      </c>
      <c r="G3534" s="597">
        <f t="shared" si="2590"/>
        <v>1155795.6300000001</v>
      </c>
      <c r="H3534" s="132"/>
    </row>
    <row r="3535" spans="1:8" s="289" customFormat="1" outlineLevel="3">
      <c r="A3535" s="382"/>
      <c r="B3535" s="382"/>
      <c r="C3535" s="512">
        <v>2210701</v>
      </c>
      <c r="D3535" s="382" t="s">
        <v>338</v>
      </c>
      <c r="E3535" s="319">
        <v>804500</v>
      </c>
      <c r="F3535" s="597">
        <f t="shared" ref="F3535:G3535" si="2591">E3535*1.1</f>
        <v>884950.00000000012</v>
      </c>
      <c r="G3535" s="597">
        <f t="shared" si="2591"/>
        <v>973445.00000000023</v>
      </c>
      <c r="H3535" s="132"/>
    </row>
    <row r="3536" spans="1:8" s="289" customFormat="1" outlineLevel="3">
      <c r="A3536" s="382"/>
      <c r="B3536" s="382"/>
      <c r="C3536" s="512">
        <v>2210704</v>
      </c>
      <c r="D3536" s="382" t="s">
        <v>37</v>
      </c>
      <c r="E3536" s="319">
        <v>150703</v>
      </c>
      <c r="F3536" s="597">
        <f t="shared" ref="F3536:G3536" si="2592">E3536*1.1</f>
        <v>165773.30000000002</v>
      </c>
      <c r="G3536" s="597">
        <f t="shared" si="2592"/>
        <v>182350.63000000003</v>
      </c>
      <c r="H3536" s="132"/>
    </row>
    <row r="3537" spans="1:8" s="300" customFormat="1" outlineLevel="3">
      <c r="A3537" s="429"/>
      <c r="B3537" s="429"/>
      <c r="C3537" s="539">
        <v>2211000</v>
      </c>
      <c r="D3537" s="429" t="s">
        <v>173</v>
      </c>
      <c r="E3537" s="597">
        <f>E3538</f>
        <v>302468</v>
      </c>
      <c r="F3537" s="597">
        <f t="shared" ref="F3537:G3537" si="2593">E3537*1.1</f>
        <v>332714.80000000005</v>
      </c>
      <c r="G3537" s="597">
        <f t="shared" si="2593"/>
        <v>365986.28000000009</v>
      </c>
      <c r="H3537" s="132"/>
    </row>
    <row r="3538" spans="1:8" s="289" customFormat="1" outlineLevel="3">
      <c r="A3538" s="382"/>
      <c r="B3538" s="382"/>
      <c r="C3538" s="512">
        <v>2211007</v>
      </c>
      <c r="D3538" s="382" t="s">
        <v>367</v>
      </c>
      <c r="E3538" s="319">
        <v>302468</v>
      </c>
      <c r="F3538" s="597">
        <f t="shared" ref="F3538:G3538" si="2594">E3538*1.1</f>
        <v>332714.80000000005</v>
      </c>
      <c r="G3538" s="597">
        <f t="shared" si="2594"/>
        <v>365986.28000000009</v>
      </c>
      <c r="H3538" s="132"/>
    </row>
    <row r="3539" spans="1:8" s="300" customFormat="1" outlineLevel="3">
      <c r="A3539" s="429"/>
      <c r="B3539" s="429"/>
      <c r="C3539" s="539">
        <v>2211100</v>
      </c>
      <c r="D3539" s="429" t="s">
        <v>327</v>
      </c>
      <c r="E3539" s="597">
        <f>SUM(E3540:E3542)</f>
        <v>841020</v>
      </c>
      <c r="F3539" s="597">
        <f t="shared" ref="F3539:G3539" si="2595">E3539*1.1</f>
        <v>925122.00000000012</v>
      </c>
      <c r="G3539" s="597">
        <f t="shared" si="2595"/>
        <v>1017634.2000000002</v>
      </c>
      <c r="H3539" s="132"/>
    </row>
    <row r="3540" spans="1:8" s="289" customFormat="1" outlineLevel="3">
      <c r="A3540" s="382"/>
      <c r="B3540" s="382"/>
      <c r="C3540" s="512">
        <v>2211101</v>
      </c>
      <c r="D3540" s="382" t="s">
        <v>50</v>
      </c>
      <c r="E3540" s="319">
        <v>369515</v>
      </c>
      <c r="F3540" s="597">
        <f t="shared" ref="F3540:G3540" si="2596">E3540*1.1</f>
        <v>406466.50000000006</v>
      </c>
      <c r="G3540" s="597">
        <f t="shared" si="2596"/>
        <v>447113.15000000008</v>
      </c>
      <c r="H3540" s="132"/>
    </row>
    <row r="3541" spans="1:8" s="289" customFormat="1" outlineLevel="3">
      <c r="A3541" s="382"/>
      <c r="B3541" s="382"/>
      <c r="C3541" s="512">
        <v>2211102</v>
      </c>
      <c r="D3541" s="382" t="s">
        <v>51</v>
      </c>
      <c r="E3541" s="319">
        <v>207029</v>
      </c>
      <c r="F3541" s="597">
        <f t="shared" ref="F3541:G3541" si="2597">E3541*1.1</f>
        <v>227731.90000000002</v>
      </c>
      <c r="G3541" s="597">
        <f t="shared" si="2597"/>
        <v>250505.09000000005</v>
      </c>
      <c r="H3541" s="132"/>
    </row>
    <row r="3542" spans="1:8" s="289" customFormat="1" outlineLevel="3">
      <c r="A3542" s="382"/>
      <c r="B3542" s="382"/>
      <c r="C3542" s="512">
        <v>2211103</v>
      </c>
      <c r="D3542" s="382" t="s">
        <v>52</v>
      </c>
      <c r="E3542" s="319">
        <v>264476</v>
      </c>
      <c r="F3542" s="597">
        <f t="shared" ref="F3542:G3542" si="2598">E3542*1.1</f>
        <v>290923.60000000003</v>
      </c>
      <c r="G3542" s="597">
        <f t="shared" si="2598"/>
        <v>320015.96000000008</v>
      </c>
      <c r="H3542" s="132"/>
    </row>
    <row r="3543" spans="1:8" s="300" customFormat="1" outlineLevel="3">
      <c r="A3543" s="429"/>
      <c r="B3543" s="429"/>
      <c r="C3543" s="539">
        <v>2211200</v>
      </c>
      <c r="D3543" s="429" t="s">
        <v>53</v>
      </c>
      <c r="E3543" s="597">
        <f>E3544</f>
        <v>1606130</v>
      </c>
      <c r="F3543" s="597">
        <f t="shared" ref="F3543:G3543" si="2599">E3543*1.1</f>
        <v>1766743.0000000002</v>
      </c>
      <c r="G3543" s="597">
        <f t="shared" si="2599"/>
        <v>1943417.3000000005</v>
      </c>
      <c r="H3543" s="132"/>
    </row>
    <row r="3544" spans="1:8" s="289" customFormat="1" outlineLevel="3">
      <c r="A3544" s="382"/>
      <c r="B3544" s="382"/>
      <c r="C3544" s="512">
        <v>2211201</v>
      </c>
      <c r="D3544" s="382" t="s">
        <v>91</v>
      </c>
      <c r="E3544" s="319">
        <v>1606130</v>
      </c>
      <c r="F3544" s="597">
        <f t="shared" ref="F3544:G3544" si="2600">E3544*1.1</f>
        <v>1766743.0000000002</v>
      </c>
      <c r="G3544" s="597">
        <f t="shared" si="2600"/>
        <v>1943417.3000000005</v>
      </c>
      <c r="H3544" s="132"/>
    </row>
    <row r="3545" spans="1:8" s="300" customFormat="1" outlineLevel="3">
      <c r="A3545" s="429"/>
      <c r="B3545" s="429"/>
      <c r="C3545" s="539">
        <v>2220100</v>
      </c>
      <c r="D3545" s="429" t="s">
        <v>225</v>
      </c>
      <c r="E3545" s="597">
        <f>E3546</f>
        <v>209000</v>
      </c>
      <c r="F3545" s="597">
        <f t="shared" ref="F3545:G3545" si="2601">E3545*1.1</f>
        <v>229900.00000000003</v>
      </c>
      <c r="G3545" s="597">
        <f t="shared" si="2601"/>
        <v>252890.00000000006</v>
      </c>
      <c r="H3545" s="132"/>
    </row>
    <row r="3546" spans="1:8" s="289" customFormat="1" outlineLevel="3">
      <c r="A3546" s="382"/>
      <c r="B3546" s="382"/>
      <c r="C3546" s="512">
        <v>2220101</v>
      </c>
      <c r="D3546" s="382" t="s">
        <v>225</v>
      </c>
      <c r="E3546" s="319">
        <v>209000</v>
      </c>
      <c r="F3546" s="597">
        <f t="shared" ref="F3546:G3546" si="2602">E3546*1.1</f>
        <v>229900.00000000003</v>
      </c>
      <c r="G3546" s="597">
        <f t="shared" si="2602"/>
        <v>252890.00000000006</v>
      </c>
      <c r="H3546" s="132"/>
    </row>
    <row r="3547" spans="1:8" s="300" customFormat="1" outlineLevel="3">
      <c r="A3547" s="429"/>
      <c r="B3547" s="429"/>
      <c r="C3547" s="539">
        <v>3111400</v>
      </c>
      <c r="D3547" s="429" t="s">
        <v>936</v>
      </c>
      <c r="E3547" s="597">
        <f>E3548</f>
        <v>504218</v>
      </c>
      <c r="F3547" s="597">
        <f t="shared" ref="F3547:G3547" si="2603">E3547*1.1</f>
        <v>554639.80000000005</v>
      </c>
      <c r="G3547" s="597">
        <f t="shared" si="2603"/>
        <v>610103.78000000014</v>
      </c>
      <c r="H3547" s="132"/>
    </row>
    <row r="3548" spans="1:8" s="289" customFormat="1" outlineLevel="3">
      <c r="A3548" s="382"/>
      <c r="B3548" s="382"/>
      <c r="C3548" s="512">
        <v>3111499</v>
      </c>
      <c r="D3548" s="382" t="s">
        <v>937</v>
      </c>
      <c r="E3548" s="319">
        <v>504218</v>
      </c>
      <c r="F3548" s="597">
        <f t="shared" ref="F3548:G3548" si="2604">E3548*1.1</f>
        <v>554639.80000000005</v>
      </c>
      <c r="G3548" s="597">
        <f t="shared" si="2604"/>
        <v>610103.78000000014</v>
      </c>
      <c r="H3548" s="132"/>
    </row>
    <row r="3549" spans="1:8" s="300" customFormat="1" outlineLevel="2">
      <c r="A3549" s="429"/>
      <c r="B3549" s="429"/>
      <c r="C3549" s="539"/>
      <c r="D3549" s="429" t="s">
        <v>183</v>
      </c>
      <c r="E3549" s="597">
        <f>E3547+E3545+E3543+E3539+E3537+E3534+E3530</f>
        <v>5845114</v>
      </c>
      <c r="F3549" s="597">
        <f t="shared" ref="F3549:G3549" si="2605">E3549*1.1</f>
        <v>6429625.4000000004</v>
      </c>
      <c r="G3549" s="597">
        <f t="shared" si="2605"/>
        <v>7072587.9400000013</v>
      </c>
      <c r="H3549" s="132"/>
    </row>
    <row r="3550" spans="1:8" s="300" customFormat="1" outlineLevel="2">
      <c r="A3550" s="429"/>
      <c r="B3550" s="429"/>
      <c r="C3550" s="539"/>
      <c r="D3550" s="429"/>
      <c r="E3550" s="597"/>
      <c r="F3550" s="597">
        <f t="shared" ref="F3550:G3550" si="2606">E3550*1.1</f>
        <v>0</v>
      </c>
      <c r="G3550" s="597">
        <f t="shared" si="2606"/>
        <v>0</v>
      </c>
      <c r="H3550" s="132"/>
    </row>
    <row r="3551" spans="1:8" s="300" customFormat="1" outlineLevel="2">
      <c r="A3551" s="429"/>
      <c r="B3551" s="429"/>
      <c r="C3551" s="539"/>
      <c r="D3551" s="429" t="s">
        <v>184</v>
      </c>
      <c r="E3551" s="597"/>
      <c r="F3551" s="597">
        <f t="shared" ref="F3551:G3551" si="2607">E3551*1.1</f>
        <v>0</v>
      </c>
      <c r="G3551" s="597">
        <f t="shared" si="2607"/>
        <v>0</v>
      </c>
      <c r="H3551" s="132"/>
    </row>
    <row r="3552" spans="1:8" s="300" customFormat="1" outlineLevel="3">
      <c r="A3552" s="429"/>
      <c r="B3552" s="429"/>
      <c r="C3552" s="539">
        <v>2211000</v>
      </c>
      <c r="D3552" s="429" t="s">
        <v>938</v>
      </c>
      <c r="E3552" s="597">
        <f>E3553</f>
        <v>1000000</v>
      </c>
      <c r="F3552" s="597">
        <f t="shared" ref="F3552:G3552" si="2608">E3552*1.1</f>
        <v>1100000</v>
      </c>
      <c r="G3552" s="597">
        <f t="shared" si="2608"/>
        <v>1210000</v>
      </c>
      <c r="H3552" s="132"/>
    </row>
    <row r="3553" spans="1:8" s="300" customFormat="1" outlineLevel="3">
      <c r="A3553" s="429"/>
      <c r="B3553" s="429"/>
      <c r="C3553" s="512">
        <v>2211007</v>
      </c>
      <c r="D3553" s="382" t="s">
        <v>939</v>
      </c>
      <c r="E3553" s="319">
        <v>1000000</v>
      </c>
      <c r="F3553" s="597">
        <f t="shared" ref="F3553:G3553" si="2609">E3553*1.1</f>
        <v>1100000</v>
      </c>
      <c r="G3553" s="597">
        <f t="shared" si="2609"/>
        <v>1210000</v>
      </c>
      <c r="H3553" s="132"/>
    </row>
    <row r="3554" spans="1:8" s="300" customFormat="1" outlineLevel="3">
      <c r="A3554" s="429"/>
      <c r="B3554" s="429"/>
      <c r="C3554" s="539">
        <v>4550200</v>
      </c>
      <c r="D3554" s="429" t="s">
        <v>940</v>
      </c>
      <c r="E3554" s="597">
        <f>SUM(E3555:E3556)</f>
        <v>236250000</v>
      </c>
      <c r="F3554" s="597">
        <f t="shared" ref="F3554:G3554" si="2610">E3554*1.1</f>
        <v>259875000.00000003</v>
      </c>
      <c r="G3554" s="597">
        <f t="shared" si="2610"/>
        <v>285862500.00000006</v>
      </c>
      <c r="H3554" s="132"/>
    </row>
    <row r="3555" spans="1:8" s="289" customFormat="1" outlineLevel="3">
      <c r="A3555" s="382"/>
      <c r="B3555" s="382"/>
      <c r="C3555" s="512">
        <v>4550201</v>
      </c>
      <c r="D3555" s="382" t="s">
        <v>941</v>
      </c>
      <c r="E3555" s="319">
        <v>231250000</v>
      </c>
      <c r="F3555" s="597">
        <f t="shared" ref="F3555:G3555" si="2611">E3555*1.1</f>
        <v>254375000.00000003</v>
      </c>
      <c r="G3555" s="597">
        <f t="shared" si="2611"/>
        <v>279812500.00000006</v>
      </c>
      <c r="H3555" s="132"/>
    </row>
    <row r="3556" spans="1:8" s="289" customFormat="1" outlineLevel="3">
      <c r="A3556" s="382"/>
      <c r="B3556" s="382"/>
      <c r="C3556" s="512">
        <v>4550201</v>
      </c>
      <c r="D3556" s="382" t="s">
        <v>942</v>
      </c>
      <c r="E3556" s="319">
        <v>5000000</v>
      </c>
      <c r="F3556" s="597">
        <f t="shared" ref="F3556:G3556" si="2612">E3556*1.1</f>
        <v>5500000</v>
      </c>
      <c r="G3556" s="597">
        <f t="shared" si="2612"/>
        <v>6050000.0000000009</v>
      </c>
      <c r="H3556" s="132"/>
    </row>
    <row r="3557" spans="1:8" s="300" customFormat="1" outlineLevel="2">
      <c r="A3557" s="429"/>
      <c r="B3557" s="429"/>
      <c r="C3557" s="539"/>
      <c r="D3557" s="429" t="s">
        <v>943</v>
      </c>
      <c r="E3557" s="597">
        <f>E3554+E3552</f>
        <v>237250000</v>
      </c>
      <c r="F3557" s="597">
        <f t="shared" ref="F3557:G3557" si="2613">E3557*1.1</f>
        <v>260975000.00000003</v>
      </c>
      <c r="G3557" s="597">
        <f t="shared" si="2613"/>
        <v>287072500.00000006</v>
      </c>
      <c r="H3557" s="132"/>
    </row>
    <row r="3558" spans="1:8" s="300" customFormat="1" outlineLevel="1">
      <c r="A3558" s="429"/>
      <c r="B3558" s="429"/>
      <c r="C3558" s="539"/>
      <c r="D3558" s="429" t="s">
        <v>944</v>
      </c>
      <c r="E3558" s="597">
        <f>E3557+E3549</f>
        <v>243095114</v>
      </c>
      <c r="F3558" s="597">
        <f t="shared" ref="F3558:G3558" si="2614">E3558*1.1</f>
        <v>267404625.40000004</v>
      </c>
      <c r="G3558" s="597">
        <f t="shared" si="2614"/>
        <v>294145087.94000006</v>
      </c>
      <c r="H3558" s="132"/>
    </row>
    <row r="3559" spans="1:8" s="289" customFormat="1" outlineLevel="1">
      <c r="A3559" s="382"/>
      <c r="B3559" s="382"/>
      <c r="C3559" s="512"/>
      <c r="D3559" s="382"/>
      <c r="E3559" s="319"/>
      <c r="F3559" s="597">
        <f t="shared" ref="F3559:G3559" si="2615">E3559*1.1</f>
        <v>0</v>
      </c>
      <c r="G3559" s="597">
        <f t="shared" si="2615"/>
        <v>0</v>
      </c>
      <c r="H3559" s="132"/>
    </row>
    <row r="3560" spans="1:8" s="300" customFormat="1" outlineLevel="1">
      <c r="A3560" s="429"/>
      <c r="B3560" s="429"/>
      <c r="C3560" s="539" t="s">
        <v>945</v>
      </c>
      <c r="D3560" s="429"/>
      <c r="E3560" s="597"/>
      <c r="F3560" s="597">
        <f t="shared" ref="F3560:G3560" si="2616">E3560*1.1</f>
        <v>0</v>
      </c>
      <c r="G3560" s="597">
        <f t="shared" si="2616"/>
        <v>0</v>
      </c>
      <c r="H3560" s="132"/>
    </row>
    <row r="3561" spans="1:8" s="300" customFormat="1" outlineLevel="1">
      <c r="A3561" s="429"/>
      <c r="B3561" s="429"/>
      <c r="C3561" s="539" t="s">
        <v>946</v>
      </c>
      <c r="D3561" s="429"/>
      <c r="E3561" s="597"/>
      <c r="F3561" s="597">
        <f t="shared" ref="F3561:G3561" si="2617">E3561*1.1</f>
        <v>0</v>
      </c>
      <c r="G3561" s="597">
        <f t="shared" si="2617"/>
        <v>0</v>
      </c>
      <c r="H3561" s="132"/>
    </row>
    <row r="3562" spans="1:8" s="300" customFormat="1" outlineLevel="3">
      <c r="A3562" s="429"/>
      <c r="B3562" s="429"/>
      <c r="C3562" s="539">
        <v>2110200</v>
      </c>
      <c r="D3562" s="429" t="s">
        <v>155</v>
      </c>
      <c r="E3562" s="597">
        <f>E3563</f>
        <v>246100</v>
      </c>
      <c r="F3562" s="597">
        <f t="shared" ref="F3562:G3562" si="2618">E3562*1.1</f>
        <v>270710</v>
      </c>
      <c r="G3562" s="597">
        <f t="shared" si="2618"/>
        <v>297781</v>
      </c>
      <c r="H3562" s="132"/>
    </row>
    <row r="3563" spans="1:8" s="289" customFormat="1" outlineLevel="3">
      <c r="A3563" s="382"/>
      <c r="B3563" s="382"/>
      <c r="C3563" s="512">
        <v>2110202</v>
      </c>
      <c r="D3563" s="382" t="s">
        <v>947</v>
      </c>
      <c r="E3563" s="319">
        <v>246100</v>
      </c>
      <c r="F3563" s="597">
        <f t="shared" ref="F3563:G3563" si="2619">E3563*1.1</f>
        <v>270710</v>
      </c>
      <c r="G3563" s="597">
        <f t="shared" si="2619"/>
        <v>297781</v>
      </c>
      <c r="H3563" s="132"/>
    </row>
    <row r="3564" spans="1:8" s="300" customFormat="1" outlineLevel="3">
      <c r="A3564" s="429"/>
      <c r="B3564" s="429"/>
      <c r="C3564" s="539">
        <v>2210100</v>
      </c>
      <c r="D3564" s="429" t="s">
        <v>336</v>
      </c>
      <c r="E3564" s="597">
        <f>SUM(E3565:E3566)</f>
        <v>40020</v>
      </c>
      <c r="F3564" s="597">
        <f t="shared" ref="F3564:G3564" si="2620">E3564*1.1</f>
        <v>44022</v>
      </c>
      <c r="G3564" s="597">
        <f t="shared" si="2620"/>
        <v>48424.200000000004</v>
      </c>
      <c r="H3564" s="132"/>
    </row>
    <row r="3565" spans="1:8" s="289" customFormat="1" outlineLevel="3">
      <c r="A3565" s="382"/>
      <c r="B3565" s="382"/>
      <c r="C3565" s="512">
        <v>2210101</v>
      </c>
      <c r="D3565" s="382" t="s">
        <v>17</v>
      </c>
      <c r="E3565" s="319">
        <v>26680</v>
      </c>
      <c r="F3565" s="597">
        <f t="shared" ref="F3565:G3565" si="2621">E3565*1.1</f>
        <v>29348.000000000004</v>
      </c>
      <c r="G3565" s="597">
        <f t="shared" si="2621"/>
        <v>32282.800000000007</v>
      </c>
      <c r="H3565" s="132"/>
    </row>
    <row r="3566" spans="1:8" s="289" customFormat="1" outlineLevel="3">
      <c r="A3566" s="382"/>
      <c r="B3566" s="382"/>
      <c r="C3566" s="512">
        <v>2210102</v>
      </c>
      <c r="D3566" s="382" t="s">
        <v>18</v>
      </c>
      <c r="E3566" s="319">
        <v>13340</v>
      </c>
      <c r="F3566" s="597">
        <f t="shared" ref="F3566:G3566" si="2622">E3566*1.1</f>
        <v>14674.000000000002</v>
      </c>
      <c r="G3566" s="597">
        <f t="shared" si="2622"/>
        <v>16141.400000000003</v>
      </c>
      <c r="H3566" s="132"/>
    </row>
    <row r="3567" spans="1:8" s="300" customFormat="1" outlineLevel="3">
      <c r="A3567" s="429"/>
      <c r="B3567" s="429"/>
      <c r="C3567" s="539">
        <v>2210200</v>
      </c>
      <c r="D3567" s="429" t="s">
        <v>337</v>
      </c>
      <c r="E3567" s="597">
        <f>E3568</f>
        <v>34243</v>
      </c>
      <c r="F3567" s="597">
        <f t="shared" ref="F3567:G3567" si="2623">E3567*1.1</f>
        <v>37667.300000000003</v>
      </c>
      <c r="G3567" s="597">
        <f t="shared" si="2623"/>
        <v>41434.030000000006</v>
      </c>
      <c r="H3567" s="132"/>
    </row>
    <row r="3568" spans="1:8" s="289" customFormat="1" outlineLevel="3">
      <c r="A3568" s="382"/>
      <c r="B3568" s="382"/>
      <c r="C3568" s="512">
        <v>2210201</v>
      </c>
      <c r="D3568" s="382" t="s">
        <v>20</v>
      </c>
      <c r="E3568" s="319">
        <v>34243</v>
      </c>
      <c r="F3568" s="597">
        <f t="shared" ref="F3568:G3568" si="2624">E3568*1.1</f>
        <v>37667.300000000003</v>
      </c>
      <c r="G3568" s="597">
        <f t="shared" si="2624"/>
        <v>41434.030000000006</v>
      </c>
      <c r="H3568" s="132"/>
    </row>
    <row r="3569" spans="1:8" s="300" customFormat="1" outlineLevel="3">
      <c r="A3569" s="429"/>
      <c r="B3569" s="429"/>
      <c r="C3569" s="539">
        <v>2210300</v>
      </c>
      <c r="D3569" s="429" t="s">
        <v>318</v>
      </c>
      <c r="E3569" s="597">
        <f>SUM(E3570:E3573)</f>
        <v>774281</v>
      </c>
      <c r="F3569" s="597">
        <f t="shared" ref="F3569:G3569" si="2625">E3569*1.1</f>
        <v>851709.10000000009</v>
      </c>
      <c r="G3569" s="597">
        <f t="shared" si="2625"/>
        <v>936880.01000000013</v>
      </c>
      <c r="H3569" s="132"/>
    </row>
    <row r="3570" spans="1:8" s="289" customFormat="1" outlineLevel="3">
      <c r="A3570" s="382"/>
      <c r="B3570" s="382"/>
      <c r="C3570" s="512">
        <v>2210301</v>
      </c>
      <c r="D3570" s="382" t="s">
        <v>24</v>
      </c>
      <c r="E3570" s="319">
        <v>43982</v>
      </c>
      <c r="F3570" s="597">
        <f t="shared" ref="F3570:G3570" si="2626">E3570*1.1</f>
        <v>48380.200000000004</v>
      </c>
      <c r="G3570" s="597">
        <f t="shared" si="2626"/>
        <v>53218.220000000008</v>
      </c>
      <c r="H3570" s="132"/>
    </row>
    <row r="3571" spans="1:8" s="289" customFormat="1" outlineLevel="3">
      <c r="A3571" s="382"/>
      <c r="B3571" s="382"/>
      <c r="C3571" s="512">
        <v>2210302</v>
      </c>
      <c r="D3571" s="382" t="s">
        <v>320</v>
      </c>
      <c r="E3571" s="319">
        <v>208025</v>
      </c>
      <c r="F3571" s="597">
        <f t="shared" ref="F3571:G3571" si="2627">E3571*1.1</f>
        <v>228827.50000000003</v>
      </c>
      <c r="G3571" s="597">
        <f t="shared" si="2627"/>
        <v>251710.25000000006</v>
      </c>
      <c r="H3571" s="132"/>
    </row>
    <row r="3572" spans="1:8" s="289" customFormat="1" outlineLevel="3">
      <c r="A3572" s="382"/>
      <c r="B3572" s="382"/>
      <c r="C3572" s="512">
        <v>2210303</v>
      </c>
      <c r="D3572" s="382" t="s">
        <v>26</v>
      </c>
      <c r="E3572" s="319">
        <v>268274</v>
      </c>
      <c r="F3572" s="597">
        <f t="shared" ref="F3572:G3572" si="2628">E3572*1.1</f>
        <v>295101.40000000002</v>
      </c>
      <c r="G3572" s="597">
        <f t="shared" si="2628"/>
        <v>324611.54000000004</v>
      </c>
      <c r="H3572" s="132"/>
    </row>
    <row r="3573" spans="1:8" s="289" customFormat="1" outlineLevel="3">
      <c r="A3573" s="382"/>
      <c r="B3573" s="382"/>
      <c r="C3573" s="512">
        <v>2210309</v>
      </c>
      <c r="D3573" s="382" t="s">
        <v>948</v>
      </c>
      <c r="E3573" s="319">
        <v>254000</v>
      </c>
      <c r="F3573" s="597">
        <f t="shared" ref="F3573:G3573" si="2629">E3573*1.1</f>
        <v>279400</v>
      </c>
      <c r="G3573" s="597">
        <f t="shared" si="2629"/>
        <v>307340</v>
      </c>
      <c r="H3573" s="132"/>
    </row>
    <row r="3574" spans="1:8" s="300" customFormat="1" outlineLevel="3">
      <c r="A3574" s="429"/>
      <c r="B3574" s="429"/>
      <c r="C3574" s="539">
        <v>2210700</v>
      </c>
      <c r="D3574" s="429" t="s">
        <v>322</v>
      </c>
      <c r="E3574" s="597">
        <f>SUM(E3575:E3576)</f>
        <v>419225</v>
      </c>
      <c r="F3574" s="597">
        <f t="shared" ref="F3574:G3574" si="2630">E3574*1.1</f>
        <v>461147.50000000006</v>
      </c>
      <c r="G3574" s="597">
        <f t="shared" si="2630"/>
        <v>507262.25000000012</v>
      </c>
      <c r="H3574" s="132"/>
    </row>
    <row r="3575" spans="1:8" s="289" customFormat="1" outlineLevel="3">
      <c r="A3575" s="382"/>
      <c r="B3575" s="382"/>
      <c r="C3575" s="512">
        <v>2210701</v>
      </c>
      <c r="D3575" s="382" t="s">
        <v>338</v>
      </c>
      <c r="E3575" s="319">
        <v>216225</v>
      </c>
      <c r="F3575" s="597">
        <f t="shared" ref="F3575:G3575" si="2631">E3575*1.1</f>
        <v>237847.50000000003</v>
      </c>
      <c r="G3575" s="597">
        <f t="shared" si="2631"/>
        <v>261632.25000000006</v>
      </c>
      <c r="H3575" s="132"/>
    </row>
    <row r="3576" spans="1:8" s="289" customFormat="1" outlineLevel="3">
      <c r="A3576" s="382"/>
      <c r="B3576" s="382"/>
      <c r="C3576" s="512">
        <v>2210710</v>
      </c>
      <c r="D3576" s="382" t="s">
        <v>38</v>
      </c>
      <c r="E3576" s="319">
        <v>203000</v>
      </c>
      <c r="F3576" s="597">
        <f t="shared" ref="F3576:G3576" si="2632">E3576*1.1</f>
        <v>223300.00000000003</v>
      </c>
      <c r="G3576" s="597">
        <f t="shared" si="2632"/>
        <v>245630.00000000006</v>
      </c>
      <c r="H3576" s="132"/>
    </row>
    <row r="3577" spans="1:8" s="300" customFormat="1" outlineLevel="3">
      <c r="A3577" s="429"/>
      <c r="B3577" s="429"/>
      <c r="C3577" s="539">
        <v>2211100</v>
      </c>
      <c r="D3577" s="429" t="s">
        <v>49</v>
      </c>
      <c r="E3577" s="597">
        <f>SUM(E3578:E3580)</f>
        <v>1179502</v>
      </c>
      <c r="F3577" s="597">
        <f t="shared" ref="F3577:G3577" si="2633">E3577*1.1</f>
        <v>1297452.2000000002</v>
      </c>
      <c r="G3577" s="597">
        <f t="shared" si="2633"/>
        <v>1427197.4200000004</v>
      </c>
      <c r="H3577" s="132"/>
    </row>
    <row r="3578" spans="1:8" s="289" customFormat="1" outlineLevel="3">
      <c r="A3578" s="382"/>
      <c r="B3578" s="382"/>
      <c r="C3578" s="512">
        <v>2211101</v>
      </c>
      <c r="D3578" s="382" t="s">
        <v>50</v>
      </c>
      <c r="E3578" s="319">
        <v>449513</v>
      </c>
      <c r="F3578" s="597">
        <f t="shared" ref="F3578:G3578" si="2634">E3578*1.1</f>
        <v>494464.30000000005</v>
      </c>
      <c r="G3578" s="597">
        <f t="shared" si="2634"/>
        <v>543910.7300000001</v>
      </c>
      <c r="H3578" s="132"/>
    </row>
    <row r="3579" spans="1:8" s="289" customFormat="1" outlineLevel="3">
      <c r="A3579" s="382"/>
      <c r="B3579" s="382"/>
      <c r="C3579" s="512">
        <v>2211102</v>
      </c>
      <c r="D3579" s="382" t="s">
        <v>51</v>
      </c>
      <c r="E3579" s="319">
        <v>519260</v>
      </c>
      <c r="F3579" s="597">
        <f t="shared" ref="F3579:G3579" si="2635">E3579*1.1</f>
        <v>571186</v>
      </c>
      <c r="G3579" s="597">
        <f t="shared" si="2635"/>
        <v>628304.60000000009</v>
      </c>
      <c r="H3579" s="132"/>
    </row>
    <row r="3580" spans="1:8" s="289" customFormat="1" outlineLevel="3">
      <c r="A3580" s="382"/>
      <c r="B3580" s="382"/>
      <c r="C3580" s="512">
        <v>2211103</v>
      </c>
      <c r="D3580" s="382" t="s">
        <v>52</v>
      </c>
      <c r="E3580" s="319">
        <v>210729</v>
      </c>
      <c r="F3580" s="597">
        <f t="shared" ref="F3580:G3580" si="2636">E3580*1.1</f>
        <v>231801.90000000002</v>
      </c>
      <c r="G3580" s="597">
        <f t="shared" si="2636"/>
        <v>254982.09000000005</v>
      </c>
      <c r="H3580" s="132"/>
    </row>
    <row r="3581" spans="1:8" s="300" customFormat="1" outlineLevel="3">
      <c r="A3581" s="429"/>
      <c r="B3581" s="429"/>
      <c r="C3581" s="539">
        <v>2211200</v>
      </c>
      <c r="D3581" s="429" t="s">
        <v>53</v>
      </c>
      <c r="E3581" s="597">
        <f>SUM(E3582:E3583)</f>
        <v>6630596</v>
      </c>
      <c r="F3581" s="597">
        <f t="shared" ref="F3581:G3581" si="2637">E3581*1.1</f>
        <v>7293655.6000000006</v>
      </c>
      <c r="G3581" s="597">
        <f t="shared" si="2637"/>
        <v>8023021.1600000011</v>
      </c>
      <c r="H3581" s="132"/>
    </row>
    <row r="3582" spans="1:8" s="289" customFormat="1" outlineLevel="3">
      <c r="A3582" s="382"/>
      <c r="B3582" s="382"/>
      <c r="C3582" s="512">
        <v>2211201</v>
      </c>
      <c r="D3582" s="382" t="s">
        <v>91</v>
      </c>
      <c r="E3582" s="319">
        <v>608417</v>
      </c>
      <c r="F3582" s="597">
        <f t="shared" ref="F3582:G3582" si="2638">E3582*1.1</f>
        <v>669258.70000000007</v>
      </c>
      <c r="G3582" s="597">
        <f t="shared" si="2638"/>
        <v>736184.57000000018</v>
      </c>
      <c r="H3582" s="132"/>
    </row>
    <row r="3583" spans="1:8" s="289" customFormat="1" outlineLevel="3">
      <c r="A3583" s="382"/>
      <c r="B3583" s="382"/>
      <c r="C3583" s="512">
        <v>2211202</v>
      </c>
      <c r="D3583" s="382" t="s">
        <v>949</v>
      </c>
      <c r="E3583" s="319">
        <f>2022179+4000000</f>
        <v>6022179</v>
      </c>
      <c r="F3583" s="597">
        <f t="shared" ref="F3583:G3583" si="2639">E3583*1.1</f>
        <v>6624396.9000000004</v>
      </c>
      <c r="G3583" s="597">
        <f t="shared" si="2639"/>
        <v>7286836.5900000008</v>
      </c>
      <c r="H3583" s="132"/>
    </row>
    <row r="3584" spans="1:8" s="300" customFormat="1" outlineLevel="3">
      <c r="A3584" s="429"/>
      <c r="B3584" s="429"/>
      <c r="C3584" s="539">
        <v>2211300</v>
      </c>
      <c r="D3584" s="429" t="s">
        <v>950</v>
      </c>
      <c r="E3584" s="597">
        <f>E3585</f>
        <v>55216</v>
      </c>
      <c r="F3584" s="597">
        <f t="shared" ref="F3584:G3584" si="2640">E3584*1.1</f>
        <v>60737.600000000006</v>
      </c>
      <c r="G3584" s="597">
        <f t="shared" si="2640"/>
        <v>66811.360000000015</v>
      </c>
      <c r="H3584" s="132"/>
    </row>
    <row r="3585" spans="1:8" s="289" customFormat="1" outlineLevel="3">
      <c r="A3585" s="382"/>
      <c r="B3585" s="382"/>
      <c r="C3585" s="512">
        <v>2211305</v>
      </c>
      <c r="D3585" s="382" t="s">
        <v>451</v>
      </c>
      <c r="E3585" s="319">
        <v>55216</v>
      </c>
      <c r="F3585" s="597">
        <f t="shared" ref="F3585:G3585" si="2641">E3585*1.1</f>
        <v>60737.600000000006</v>
      </c>
      <c r="G3585" s="597">
        <f t="shared" si="2641"/>
        <v>66811.360000000015</v>
      </c>
      <c r="H3585" s="132"/>
    </row>
    <row r="3586" spans="1:8" s="300" customFormat="1" outlineLevel="3">
      <c r="A3586" s="429"/>
      <c r="B3586" s="429"/>
      <c r="C3586" s="539">
        <v>2220100</v>
      </c>
      <c r="D3586" s="429" t="s">
        <v>225</v>
      </c>
      <c r="E3586" s="597">
        <f>E3587</f>
        <v>338518</v>
      </c>
      <c r="F3586" s="597">
        <f t="shared" ref="F3586:G3586" si="2642">E3586*1.1</f>
        <v>372369.80000000005</v>
      </c>
      <c r="G3586" s="597">
        <f t="shared" si="2642"/>
        <v>409606.78000000009</v>
      </c>
      <c r="H3586" s="132"/>
    </row>
    <row r="3587" spans="1:8" s="289" customFormat="1" outlineLevel="3">
      <c r="A3587" s="382"/>
      <c r="B3587" s="382"/>
      <c r="C3587" s="512">
        <v>2220101</v>
      </c>
      <c r="D3587" s="382" t="s">
        <v>225</v>
      </c>
      <c r="E3587" s="319">
        <v>338518</v>
      </c>
      <c r="F3587" s="597">
        <f t="shared" ref="F3587:G3587" si="2643">E3587*1.1</f>
        <v>372369.80000000005</v>
      </c>
      <c r="G3587" s="597">
        <f t="shared" si="2643"/>
        <v>409606.78000000009</v>
      </c>
      <c r="H3587" s="132"/>
    </row>
    <row r="3588" spans="1:8" s="300" customFormat="1" outlineLevel="3">
      <c r="A3588" s="429"/>
      <c r="B3588" s="429"/>
      <c r="C3588" s="539">
        <v>2220200</v>
      </c>
      <c r="D3588" s="429" t="s">
        <v>368</v>
      </c>
      <c r="E3588" s="597">
        <f>SUM(E3589:E3590)</f>
        <v>10802976</v>
      </c>
      <c r="F3588" s="597">
        <f t="shared" ref="F3588:G3588" si="2644">E3588*1.1</f>
        <v>11883273.600000001</v>
      </c>
      <c r="G3588" s="597">
        <f t="shared" si="2644"/>
        <v>13071600.960000003</v>
      </c>
      <c r="H3588" s="132"/>
    </row>
    <row r="3589" spans="1:8" s="289" customFormat="1" outlineLevel="3">
      <c r="A3589" s="382"/>
      <c r="B3589" s="382"/>
      <c r="C3589" s="512">
        <v>2220201</v>
      </c>
      <c r="D3589" s="382" t="s">
        <v>951</v>
      </c>
      <c r="E3589" s="319">
        <f>15464867-5300000</f>
        <v>10164867</v>
      </c>
      <c r="F3589" s="597">
        <f t="shared" ref="F3589:G3589" si="2645">E3589*1.1</f>
        <v>11181353.700000001</v>
      </c>
      <c r="G3589" s="597">
        <f t="shared" si="2645"/>
        <v>12299489.070000002</v>
      </c>
      <c r="H3589" s="132"/>
    </row>
    <row r="3590" spans="1:8" s="289" customFormat="1" outlineLevel="3">
      <c r="A3590" s="382"/>
      <c r="B3590" s="382"/>
      <c r="C3590" s="512">
        <v>2220210</v>
      </c>
      <c r="D3590" s="382" t="s">
        <v>181</v>
      </c>
      <c r="E3590" s="319">
        <v>638109</v>
      </c>
      <c r="F3590" s="597">
        <f t="shared" ref="F3590:G3590" si="2646">E3590*1.1</f>
        <v>701919.9</v>
      </c>
      <c r="G3590" s="597">
        <f t="shared" si="2646"/>
        <v>772111.89000000013</v>
      </c>
      <c r="H3590" s="132"/>
    </row>
    <row r="3591" spans="1:8" s="300" customFormat="1" outlineLevel="2">
      <c r="A3591" s="429"/>
      <c r="B3591" s="429"/>
      <c r="C3591" s="539"/>
      <c r="D3591" s="429" t="s">
        <v>183</v>
      </c>
      <c r="E3591" s="597">
        <f>E3588+E3586+E3584+E3581+E3577+E3574+E3569+E3567+E3564+E3562</f>
        <v>20520677</v>
      </c>
      <c r="F3591" s="597">
        <f t="shared" ref="F3591:G3591" si="2647">E3591*1.1</f>
        <v>22572744.700000003</v>
      </c>
      <c r="G3591" s="597">
        <f t="shared" si="2647"/>
        <v>24830019.170000006</v>
      </c>
      <c r="H3591" s="132"/>
    </row>
    <row r="3592" spans="1:8" s="300" customFormat="1" outlineLevel="2">
      <c r="A3592" s="429"/>
      <c r="B3592" s="429"/>
      <c r="C3592" s="539"/>
      <c r="D3592" s="429"/>
      <c r="E3592" s="597"/>
      <c r="F3592" s="597">
        <f t="shared" ref="F3592:G3592" si="2648">E3592*1.1</f>
        <v>0</v>
      </c>
      <c r="G3592" s="597">
        <f t="shared" si="2648"/>
        <v>0</v>
      </c>
      <c r="H3592" s="132"/>
    </row>
    <row r="3593" spans="1:8" s="300" customFormat="1" outlineLevel="2">
      <c r="A3593" s="429"/>
      <c r="B3593" s="429"/>
      <c r="C3593" s="539"/>
      <c r="D3593" s="429" t="s">
        <v>184</v>
      </c>
      <c r="E3593" s="597"/>
      <c r="F3593" s="597">
        <f t="shared" ref="F3593:G3593" si="2649">E3593*1.1</f>
        <v>0</v>
      </c>
      <c r="G3593" s="597">
        <f t="shared" si="2649"/>
        <v>0</v>
      </c>
      <c r="H3593" s="132"/>
    </row>
    <row r="3594" spans="1:8" s="300" customFormat="1" outlineLevel="3">
      <c r="A3594" s="429"/>
      <c r="B3594" s="429"/>
      <c r="C3594" s="539">
        <v>3110500</v>
      </c>
      <c r="D3594" s="429" t="s">
        <v>952</v>
      </c>
      <c r="E3594" s="597">
        <f>E3595</f>
        <v>4500000</v>
      </c>
      <c r="F3594" s="597">
        <f t="shared" ref="F3594:G3594" si="2650">E3594*1.1</f>
        <v>4950000</v>
      </c>
      <c r="G3594" s="597">
        <f t="shared" si="2650"/>
        <v>5445000</v>
      </c>
      <c r="H3594" s="132"/>
    </row>
    <row r="3595" spans="1:8" s="289" customFormat="1" outlineLevel="3">
      <c r="A3595" s="382"/>
      <c r="B3595" s="382"/>
      <c r="C3595" s="512">
        <v>3110599</v>
      </c>
      <c r="D3595" s="382" t="s">
        <v>953</v>
      </c>
      <c r="E3595" s="319">
        <v>4500000</v>
      </c>
      <c r="F3595" s="597">
        <f t="shared" ref="F3595:G3595" si="2651">E3595*1.1</f>
        <v>4950000</v>
      </c>
      <c r="G3595" s="597">
        <f t="shared" si="2651"/>
        <v>5445000</v>
      </c>
      <c r="H3595" s="132"/>
    </row>
    <row r="3596" spans="1:8" s="300" customFormat="1" outlineLevel="3">
      <c r="A3596" s="429"/>
      <c r="B3596" s="429"/>
      <c r="C3596" s="539">
        <v>3111100</v>
      </c>
      <c r="D3596" s="429" t="s">
        <v>669</v>
      </c>
      <c r="E3596" s="597">
        <f>SUM(E3597:E3597)</f>
        <v>3000000</v>
      </c>
      <c r="F3596" s="597">
        <f t="shared" ref="F3596:G3596" si="2652">E3596*1.1</f>
        <v>3300000.0000000005</v>
      </c>
      <c r="G3596" s="597">
        <f t="shared" si="2652"/>
        <v>3630000.0000000009</v>
      </c>
      <c r="H3596" s="132"/>
    </row>
    <row r="3597" spans="1:8" s="289" customFormat="1" outlineLevel="3">
      <c r="A3597" s="382"/>
      <c r="B3597" s="382"/>
      <c r="C3597" s="512">
        <v>3111103</v>
      </c>
      <c r="D3597" s="382" t="s">
        <v>954</v>
      </c>
      <c r="E3597" s="319">
        <f>2000000+1000000</f>
        <v>3000000</v>
      </c>
      <c r="F3597" s="597">
        <f t="shared" ref="F3597:G3597" si="2653">E3597*1.1</f>
        <v>3300000.0000000005</v>
      </c>
      <c r="G3597" s="597">
        <f t="shared" si="2653"/>
        <v>3630000.0000000009</v>
      </c>
      <c r="H3597" s="132"/>
    </row>
    <row r="3598" spans="1:8" s="300" customFormat="1" outlineLevel="2">
      <c r="A3598" s="429"/>
      <c r="B3598" s="429"/>
      <c r="C3598" s="539"/>
      <c r="D3598" s="429" t="s">
        <v>189</v>
      </c>
      <c r="E3598" s="597">
        <f>E3594+E3596</f>
        <v>7500000</v>
      </c>
      <c r="F3598" s="597">
        <f t="shared" ref="F3598:G3598" si="2654">E3598*1.1</f>
        <v>8250000.0000000009</v>
      </c>
      <c r="G3598" s="597">
        <f t="shared" si="2654"/>
        <v>9075000.0000000019</v>
      </c>
      <c r="H3598" s="132"/>
    </row>
    <row r="3599" spans="1:8" s="300" customFormat="1" outlineLevel="1">
      <c r="A3599" s="429"/>
      <c r="B3599" s="429"/>
      <c r="C3599" s="539"/>
      <c r="D3599" s="429" t="s">
        <v>80</v>
      </c>
      <c r="E3599" s="597">
        <f>E3598+E3591</f>
        <v>28020677</v>
      </c>
      <c r="F3599" s="597">
        <f t="shared" ref="F3599:G3599" si="2655">E3599*1.1</f>
        <v>30822744.700000003</v>
      </c>
      <c r="G3599" s="597">
        <f t="shared" si="2655"/>
        <v>33905019.170000009</v>
      </c>
      <c r="H3599" s="132"/>
    </row>
    <row r="3600" spans="1:8" s="289" customFormat="1" outlineLevel="1">
      <c r="A3600" s="382"/>
      <c r="B3600" s="382"/>
      <c r="C3600" s="512"/>
      <c r="D3600" s="382"/>
      <c r="E3600" s="319"/>
      <c r="F3600" s="597">
        <f t="shared" ref="F3600:G3600" si="2656">E3600*1.1</f>
        <v>0</v>
      </c>
      <c r="G3600" s="597">
        <f t="shared" si="2656"/>
        <v>0</v>
      </c>
      <c r="H3600" s="132"/>
    </row>
    <row r="3601" spans="1:8" s="300" customFormat="1" outlineLevel="1">
      <c r="A3601" s="429"/>
      <c r="B3601" s="429"/>
      <c r="C3601" s="539" t="s">
        <v>955</v>
      </c>
      <c r="D3601" s="429"/>
      <c r="E3601" s="597"/>
      <c r="F3601" s="597">
        <f t="shared" ref="F3601:G3601" si="2657">E3601*1.1</f>
        <v>0</v>
      </c>
      <c r="G3601" s="597">
        <f t="shared" si="2657"/>
        <v>0</v>
      </c>
      <c r="H3601" s="132"/>
    </row>
    <row r="3602" spans="1:8" s="300" customFormat="1" outlineLevel="3">
      <c r="A3602" s="429"/>
      <c r="B3602" s="429"/>
      <c r="C3602" s="539">
        <v>2110200</v>
      </c>
      <c r="D3602" s="429" t="s">
        <v>155</v>
      </c>
      <c r="E3602" s="597">
        <f>E3603</f>
        <v>5860000</v>
      </c>
      <c r="F3602" s="597">
        <f t="shared" ref="F3602:G3602" si="2658">E3602*1.1</f>
        <v>6446000.0000000009</v>
      </c>
      <c r="G3602" s="597">
        <f t="shared" si="2658"/>
        <v>7090600.0000000019</v>
      </c>
      <c r="H3602" s="132"/>
    </row>
    <row r="3603" spans="1:8" s="289" customFormat="1" outlineLevel="3">
      <c r="A3603" s="382"/>
      <c r="B3603" s="382"/>
      <c r="C3603" s="512">
        <v>2110202</v>
      </c>
      <c r="D3603" s="382" t="s">
        <v>956</v>
      </c>
      <c r="E3603" s="319">
        <v>5860000</v>
      </c>
      <c r="F3603" s="597">
        <f t="shared" ref="F3603:G3603" si="2659">E3603*1.1</f>
        <v>6446000.0000000009</v>
      </c>
      <c r="G3603" s="597">
        <f t="shared" si="2659"/>
        <v>7090600.0000000019</v>
      </c>
      <c r="H3603" s="132"/>
    </row>
    <row r="3604" spans="1:8" s="300" customFormat="1" outlineLevel="3">
      <c r="A3604" s="429"/>
      <c r="B3604" s="429"/>
      <c r="C3604" s="539">
        <v>2210100</v>
      </c>
      <c r="D3604" s="429" t="s">
        <v>336</v>
      </c>
      <c r="E3604" s="597">
        <f>SUM(E3605:E3606)</f>
        <v>427363</v>
      </c>
      <c r="F3604" s="597">
        <f t="shared" ref="F3604:G3604" si="2660">E3604*1.1</f>
        <v>470099.30000000005</v>
      </c>
      <c r="G3604" s="597">
        <f t="shared" si="2660"/>
        <v>517109.2300000001</v>
      </c>
      <c r="H3604" s="132"/>
    </row>
    <row r="3605" spans="1:8" s="289" customFormat="1" outlineLevel="3">
      <c r="A3605" s="382"/>
      <c r="B3605" s="382"/>
      <c r="C3605" s="512">
        <v>2210101</v>
      </c>
      <c r="D3605" s="382" t="s">
        <v>17</v>
      </c>
      <c r="E3605" s="319">
        <v>284200</v>
      </c>
      <c r="F3605" s="597">
        <f t="shared" ref="F3605:G3605" si="2661">E3605*1.1</f>
        <v>312620</v>
      </c>
      <c r="G3605" s="597">
        <f t="shared" si="2661"/>
        <v>343882</v>
      </c>
      <c r="H3605" s="132"/>
    </row>
    <row r="3606" spans="1:8" s="289" customFormat="1" outlineLevel="3">
      <c r="A3606" s="382"/>
      <c r="B3606" s="382"/>
      <c r="C3606" s="512">
        <v>2210102</v>
      </c>
      <c r="D3606" s="382" t="s">
        <v>18</v>
      </c>
      <c r="E3606" s="319">
        <v>143163</v>
      </c>
      <c r="F3606" s="597">
        <f t="shared" ref="F3606:G3606" si="2662">E3606*1.1</f>
        <v>157479.30000000002</v>
      </c>
      <c r="G3606" s="597">
        <f t="shared" si="2662"/>
        <v>173227.23000000004</v>
      </c>
      <c r="H3606" s="132"/>
    </row>
    <row r="3607" spans="1:8" s="300" customFormat="1" outlineLevel="3">
      <c r="A3607" s="429"/>
      <c r="B3607" s="429"/>
      <c r="C3607" s="539">
        <v>2210200</v>
      </c>
      <c r="D3607" s="429" t="s">
        <v>337</v>
      </c>
      <c r="E3607" s="597">
        <f>SUM(E3608:E3610)</f>
        <v>477317</v>
      </c>
      <c r="F3607" s="597">
        <f t="shared" ref="F3607:G3607" si="2663">E3607*1.1</f>
        <v>525048.70000000007</v>
      </c>
      <c r="G3607" s="597">
        <f t="shared" si="2663"/>
        <v>577553.57000000018</v>
      </c>
      <c r="H3607" s="132"/>
    </row>
    <row r="3608" spans="1:8" s="289" customFormat="1" outlineLevel="3">
      <c r="A3608" s="382"/>
      <c r="B3608" s="382"/>
      <c r="C3608" s="512">
        <v>2210201</v>
      </c>
      <c r="D3608" s="382" t="s">
        <v>20</v>
      </c>
      <c r="E3608" s="319">
        <v>238000</v>
      </c>
      <c r="F3608" s="597">
        <f t="shared" ref="F3608:G3608" si="2664">E3608*1.1</f>
        <v>261800.00000000003</v>
      </c>
      <c r="G3608" s="597">
        <f t="shared" si="2664"/>
        <v>287980.00000000006</v>
      </c>
      <c r="H3608" s="132"/>
    </row>
    <row r="3609" spans="1:8" s="289" customFormat="1" outlineLevel="3">
      <c r="A3609" s="382"/>
      <c r="B3609" s="382"/>
      <c r="C3609" s="512">
        <v>2210202</v>
      </c>
      <c r="D3609" s="382" t="s">
        <v>21</v>
      </c>
      <c r="E3609" s="319">
        <v>174000</v>
      </c>
      <c r="F3609" s="597">
        <f t="shared" ref="F3609:G3609" si="2665">E3609*1.1</f>
        <v>191400.00000000003</v>
      </c>
      <c r="G3609" s="597">
        <f t="shared" si="2665"/>
        <v>210540.00000000006</v>
      </c>
      <c r="H3609" s="132"/>
    </row>
    <row r="3610" spans="1:8" s="289" customFormat="1" outlineLevel="3">
      <c r="A3610" s="382"/>
      <c r="B3610" s="382"/>
      <c r="C3610" s="512">
        <v>2210207</v>
      </c>
      <c r="D3610" s="382" t="s">
        <v>957</v>
      </c>
      <c r="E3610" s="319">
        <v>65317</v>
      </c>
      <c r="F3610" s="597">
        <f t="shared" ref="F3610:G3610" si="2666">E3610*1.1</f>
        <v>71848.700000000012</v>
      </c>
      <c r="G3610" s="597">
        <f t="shared" si="2666"/>
        <v>79033.570000000022</v>
      </c>
      <c r="H3610" s="132"/>
    </row>
    <row r="3611" spans="1:8" s="300" customFormat="1" outlineLevel="3">
      <c r="A3611" s="429"/>
      <c r="B3611" s="429"/>
      <c r="C3611" s="539">
        <v>2210300</v>
      </c>
      <c r="D3611" s="429" t="s">
        <v>318</v>
      </c>
      <c r="E3611" s="597">
        <f>SUM(E3612:E3614)</f>
        <v>1818615</v>
      </c>
      <c r="F3611" s="597">
        <f t="shared" ref="F3611:G3611" si="2667">E3611*1.1</f>
        <v>2000476.5000000002</v>
      </c>
      <c r="G3611" s="597">
        <f t="shared" si="2667"/>
        <v>2200524.1500000004</v>
      </c>
      <c r="H3611" s="132"/>
    </row>
    <row r="3612" spans="1:8" s="289" customFormat="1" outlineLevel="3">
      <c r="A3612" s="382"/>
      <c r="B3612" s="382"/>
      <c r="C3612" s="512">
        <v>2210301</v>
      </c>
      <c r="D3612" s="382" t="s">
        <v>24</v>
      </c>
      <c r="E3612" s="319">
        <v>346885</v>
      </c>
      <c r="F3612" s="597">
        <f t="shared" ref="F3612:G3612" si="2668">E3612*1.1</f>
        <v>381573.50000000006</v>
      </c>
      <c r="G3612" s="597">
        <f t="shared" si="2668"/>
        <v>419730.85000000009</v>
      </c>
      <c r="H3612" s="132"/>
    </row>
    <row r="3613" spans="1:8" s="289" customFormat="1" outlineLevel="3">
      <c r="A3613" s="382"/>
      <c r="B3613" s="382"/>
      <c r="C3613" s="512">
        <v>2210302</v>
      </c>
      <c r="D3613" s="382" t="s">
        <v>632</v>
      </c>
      <c r="E3613" s="319">
        <v>649560</v>
      </c>
      <c r="F3613" s="597">
        <f t="shared" ref="F3613:G3613" si="2669">E3613*1.1</f>
        <v>714516</v>
      </c>
      <c r="G3613" s="597">
        <f t="shared" si="2669"/>
        <v>785967.60000000009</v>
      </c>
      <c r="H3613" s="132"/>
    </row>
    <row r="3614" spans="1:8" s="289" customFormat="1" outlineLevel="3">
      <c r="A3614" s="382"/>
      <c r="B3614" s="382"/>
      <c r="C3614" s="512">
        <v>2210303</v>
      </c>
      <c r="D3614" s="382" t="s">
        <v>26</v>
      </c>
      <c r="E3614" s="319">
        <v>822170</v>
      </c>
      <c r="F3614" s="597">
        <f t="shared" ref="F3614:G3614" si="2670">E3614*1.1</f>
        <v>904387.00000000012</v>
      </c>
      <c r="G3614" s="597">
        <f t="shared" si="2670"/>
        <v>994825.70000000019</v>
      </c>
      <c r="H3614" s="132"/>
    </row>
    <row r="3615" spans="1:8" s="300" customFormat="1" outlineLevel="3">
      <c r="A3615" s="429"/>
      <c r="B3615" s="429"/>
      <c r="C3615" s="539">
        <v>2210500</v>
      </c>
      <c r="D3615" s="429" t="s">
        <v>30</v>
      </c>
      <c r="E3615" s="597">
        <f>E3616</f>
        <v>481200</v>
      </c>
      <c r="F3615" s="597">
        <f t="shared" ref="F3615:G3615" si="2671">E3615*1.1</f>
        <v>529320</v>
      </c>
      <c r="G3615" s="597">
        <f t="shared" si="2671"/>
        <v>582252</v>
      </c>
      <c r="H3615" s="132"/>
    </row>
    <row r="3616" spans="1:8" s="289" customFormat="1" outlineLevel="3">
      <c r="A3616" s="382"/>
      <c r="B3616" s="382"/>
      <c r="C3616" s="512">
        <v>2210599</v>
      </c>
      <c r="D3616" s="382" t="s">
        <v>958</v>
      </c>
      <c r="E3616" s="319">
        <v>481200</v>
      </c>
      <c r="F3616" s="597">
        <f t="shared" ref="F3616:G3616" si="2672">E3616*1.1</f>
        <v>529320</v>
      </c>
      <c r="G3616" s="597">
        <f t="shared" si="2672"/>
        <v>582252</v>
      </c>
      <c r="H3616" s="132"/>
    </row>
    <row r="3617" spans="1:8" s="300" customFormat="1" outlineLevel="3">
      <c r="A3617" s="429"/>
      <c r="B3617" s="429"/>
      <c r="C3617" s="539">
        <v>2210600</v>
      </c>
      <c r="D3617" s="429" t="s">
        <v>959</v>
      </c>
      <c r="E3617" s="597">
        <f>E3618</f>
        <v>65054</v>
      </c>
      <c r="F3617" s="597">
        <f t="shared" ref="F3617:G3617" si="2673">E3617*1.1</f>
        <v>71559.400000000009</v>
      </c>
      <c r="G3617" s="597">
        <f t="shared" si="2673"/>
        <v>78715.340000000011</v>
      </c>
      <c r="H3617" s="132"/>
    </row>
    <row r="3618" spans="1:8" s="289" customFormat="1" outlineLevel="3">
      <c r="A3618" s="382"/>
      <c r="B3618" s="382"/>
      <c r="C3618" s="512">
        <v>2210604</v>
      </c>
      <c r="D3618" s="382" t="s">
        <v>960</v>
      </c>
      <c r="E3618" s="319">
        <v>65054</v>
      </c>
      <c r="F3618" s="597">
        <f t="shared" ref="F3618:G3618" si="2674">E3618*1.1</f>
        <v>71559.400000000009</v>
      </c>
      <c r="G3618" s="597">
        <f t="shared" si="2674"/>
        <v>78715.340000000011</v>
      </c>
      <c r="H3618" s="132"/>
    </row>
    <row r="3619" spans="1:8" s="300" customFormat="1" outlineLevel="3">
      <c r="A3619" s="429"/>
      <c r="B3619" s="429"/>
      <c r="C3619" s="539">
        <v>2210700</v>
      </c>
      <c r="D3619" s="429" t="s">
        <v>322</v>
      </c>
      <c r="E3619" s="597">
        <f>SUM(E3620:E3622)</f>
        <v>2636099</v>
      </c>
      <c r="F3619" s="597">
        <f t="shared" ref="F3619:G3619" si="2675">E3619*1.1</f>
        <v>2899708.9000000004</v>
      </c>
      <c r="G3619" s="597">
        <f t="shared" si="2675"/>
        <v>3189679.7900000005</v>
      </c>
      <c r="H3619" s="132"/>
    </row>
    <row r="3620" spans="1:8" s="289" customFormat="1" outlineLevel="3">
      <c r="A3620" s="382"/>
      <c r="B3620" s="382"/>
      <c r="C3620" s="512">
        <v>2210701</v>
      </c>
      <c r="D3620" s="382" t="s">
        <v>961</v>
      </c>
      <c r="E3620" s="319">
        <v>1086766</v>
      </c>
      <c r="F3620" s="597">
        <f t="shared" ref="F3620:G3620" si="2676">E3620*1.1</f>
        <v>1195442.6000000001</v>
      </c>
      <c r="G3620" s="597">
        <f t="shared" si="2676"/>
        <v>1314986.8600000001</v>
      </c>
      <c r="H3620" s="132"/>
    </row>
    <row r="3621" spans="1:8" s="289" customFormat="1" outlineLevel="3">
      <c r="A3621" s="382"/>
      <c r="B3621" s="382"/>
      <c r="C3621" s="512">
        <v>2210704</v>
      </c>
      <c r="D3621" s="382" t="s">
        <v>37</v>
      </c>
      <c r="E3621" s="319">
        <v>458593</v>
      </c>
      <c r="F3621" s="597">
        <f t="shared" ref="F3621:G3621" si="2677">E3621*1.1</f>
        <v>504452.30000000005</v>
      </c>
      <c r="G3621" s="597">
        <f t="shared" si="2677"/>
        <v>554897.53000000014</v>
      </c>
      <c r="H3621" s="132"/>
    </row>
    <row r="3622" spans="1:8" s="289" customFormat="1" outlineLevel="3">
      <c r="A3622" s="382"/>
      <c r="B3622" s="382"/>
      <c r="C3622" s="512">
        <v>2210710</v>
      </c>
      <c r="D3622" s="382" t="s">
        <v>365</v>
      </c>
      <c r="E3622" s="319">
        <v>1090740</v>
      </c>
      <c r="F3622" s="597">
        <f t="shared" ref="F3622:G3622" si="2678">E3622*1.1</f>
        <v>1199814</v>
      </c>
      <c r="G3622" s="597">
        <f t="shared" si="2678"/>
        <v>1319795.4000000001</v>
      </c>
      <c r="H3622" s="132"/>
    </row>
    <row r="3623" spans="1:8" s="300" customFormat="1" outlineLevel="3">
      <c r="A3623" s="429"/>
      <c r="B3623" s="429"/>
      <c r="C3623" s="539">
        <v>2210800</v>
      </c>
      <c r="D3623" s="429" t="s">
        <v>41</v>
      </c>
      <c r="E3623" s="597">
        <f>E3624</f>
        <v>576288</v>
      </c>
      <c r="F3623" s="597">
        <f t="shared" ref="F3623:G3623" si="2679">E3623*1.1</f>
        <v>633916.80000000005</v>
      </c>
      <c r="G3623" s="597">
        <f t="shared" si="2679"/>
        <v>697308.4800000001</v>
      </c>
      <c r="H3623" s="132"/>
    </row>
    <row r="3624" spans="1:8" s="289" customFormat="1" outlineLevel="3">
      <c r="A3624" s="382"/>
      <c r="B3624" s="382"/>
      <c r="C3624" s="512">
        <v>2210801</v>
      </c>
      <c r="D3624" s="382" t="s">
        <v>962</v>
      </c>
      <c r="E3624" s="319">
        <v>576288</v>
      </c>
      <c r="F3624" s="597">
        <f t="shared" ref="F3624:G3624" si="2680">E3624*1.1</f>
        <v>633916.80000000005</v>
      </c>
      <c r="G3624" s="597">
        <f t="shared" si="2680"/>
        <v>697308.4800000001</v>
      </c>
      <c r="H3624" s="132"/>
    </row>
    <row r="3625" spans="1:8" s="300" customFormat="1" outlineLevel="3">
      <c r="A3625" s="429"/>
      <c r="B3625" s="429"/>
      <c r="C3625" s="539">
        <v>2211000</v>
      </c>
      <c r="D3625" s="429" t="s">
        <v>173</v>
      </c>
      <c r="E3625" s="597">
        <f>SUM(E3626:E3628)</f>
        <v>1381257</v>
      </c>
      <c r="F3625" s="597">
        <f t="shared" ref="F3625:G3625" si="2681">E3625*1.1</f>
        <v>1519382.7000000002</v>
      </c>
      <c r="G3625" s="597">
        <f t="shared" si="2681"/>
        <v>1671320.9700000004</v>
      </c>
      <c r="H3625" s="132"/>
    </row>
    <row r="3626" spans="1:8" s="289" customFormat="1" outlineLevel="3">
      <c r="A3626" s="382"/>
      <c r="B3626" s="382"/>
      <c r="C3626" s="512">
        <v>2211005</v>
      </c>
      <c r="D3626" s="382" t="s">
        <v>963</v>
      </c>
      <c r="E3626" s="319">
        <f>527840-287840</f>
        <v>240000</v>
      </c>
      <c r="F3626" s="597">
        <f t="shared" ref="F3626:G3626" si="2682">E3626*1.1</f>
        <v>264000</v>
      </c>
      <c r="G3626" s="597">
        <f t="shared" si="2682"/>
        <v>290400</v>
      </c>
      <c r="H3626" s="132"/>
    </row>
    <row r="3627" spans="1:8" s="289" customFormat="1" outlineLevel="3">
      <c r="A3627" s="382"/>
      <c r="B3627" s="382"/>
      <c r="C3627" s="512">
        <v>2211007</v>
      </c>
      <c r="D3627" s="382" t="s">
        <v>367</v>
      </c>
      <c r="E3627" s="319">
        <f>387079+100000</f>
        <v>487079</v>
      </c>
      <c r="F3627" s="597">
        <f t="shared" ref="F3627:G3627" si="2683">E3627*1.1</f>
        <v>535786.9</v>
      </c>
      <c r="G3627" s="597">
        <f t="shared" si="2683"/>
        <v>589365.59000000008</v>
      </c>
      <c r="H3627" s="132"/>
    </row>
    <row r="3628" spans="1:8" s="289" customFormat="1" outlineLevel="3">
      <c r="A3628" s="382"/>
      <c r="B3628" s="382"/>
      <c r="C3628" s="512">
        <v>2211023</v>
      </c>
      <c r="D3628" s="382" t="s">
        <v>964</v>
      </c>
      <c r="E3628" s="319">
        <f>466338+187840</f>
        <v>654178</v>
      </c>
      <c r="F3628" s="597">
        <f t="shared" ref="F3628:G3628" si="2684">E3628*1.1</f>
        <v>719595.8</v>
      </c>
      <c r="G3628" s="597">
        <f t="shared" si="2684"/>
        <v>791555.38000000012</v>
      </c>
      <c r="H3628" s="132"/>
    </row>
    <row r="3629" spans="1:8" s="300" customFormat="1" outlineLevel="3">
      <c r="A3629" s="429"/>
      <c r="B3629" s="429"/>
      <c r="C3629" s="539">
        <v>2211100</v>
      </c>
      <c r="D3629" s="429" t="s">
        <v>327</v>
      </c>
      <c r="E3629" s="597">
        <f>SUM(E3630:E3632)</f>
        <v>981649</v>
      </c>
      <c r="F3629" s="597">
        <f t="shared" ref="F3629:G3629" si="2685">E3629*1.1</f>
        <v>1079813.9000000001</v>
      </c>
      <c r="G3629" s="597">
        <f t="shared" si="2685"/>
        <v>1187795.2900000003</v>
      </c>
      <c r="H3629" s="132"/>
    </row>
    <row r="3630" spans="1:8" s="289" customFormat="1" outlineLevel="3">
      <c r="A3630" s="382"/>
      <c r="B3630" s="382"/>
      <c r="C3630" s="512">
        <v>2211101</v>
      </c>
      <c r="D3630" s="382" t="s">
        <v>50</v>
      </c>
      <c r="E3630" s="319">
        <v>308372</v>
      </c>
      <c r="F3630" s="597">
        <f t="shared" ref="F3630:G3630" si="2686">E3630*1.1</f>
        <v>339209.2</v>
      </c>
      <c r="G3630" s="597">
        <f t="shared" si="2686"/>
        <v>373130.12000000005</v>
      </c>
      <c r="H3630" s="132"/>
    </row>
    <row r="3631" spans="1:8" s="289" customFormat="1" outlineLevel="3">
      <c r="A3631" s="382"/>
      <c r="B3631" s="382"/>
      <c r="C3631" s="512">
        <v>2211102</v>
      </c>
      <c r="D3631" s="382" t="s">
        <v>51</v>
      </c>
      <c r="E3631" s="319">
        <v>381400</v>
      </c>
      <c r="F3631" s="597">
        <f t="shared" ref="F3631:G3631" si="2687">E3631*1.1</f>
        <v>419540.00000000006</v>
      </c>
      <c r="G3631" s="597">
        <f t="shared" si="2687"/>
        <v>461494.00000000012</v>
      </c>
      <c r="H3631" s="132"/>
    </row>
    <row r="3632" spans="1:8" s="289" customFormat="1" outlineLevel="3">
      <c r="A3632" s="382"/>
      <c r="B3632" s="382"/>
      <c r="C3632" s="512">
        <v>2211103</v>
      </c>
      <c r="D3632" s="382" t="s">
        <v>52</v>
      </c>
      <c r="E3632" s="319">
        <v>291877</v>
      </c>
      <c r="F3632" s="597">
        <f t="shared" ref="F3632:G3632" si="2688">E3632*1.1</f>
        <v>321064.7</v>
      </c>
      <c r="G3632" s="597">
        <f t="shared" si="2688"/>
        <v>353171.17000000004</v>
      </c>
      <c r="H3632" s="132"/>
    </row>
    <row r="3633" spans="1:8" s="300" customFormat="1" outlineLevel="3">
      <c r="A3633" s="429"/>
      <c r="B3633" s="429"/>
      <c r="C3633" s="539">
        <v>2211200</v>
      </c>
      <c r="D3633" s="429" t="s">
        <v>53</v>
      </c>
      <c r="E3633" s="597">
        <f>E3634</f>
        <v>1664000</v>
      </c>
      <c r="F3633" s="597">
        <f t="shared" ref="F3633:G3633" si="2689">E3633*1.1</f>
        <v>1830400.0000000002</v>
      </c>
      <c r="G3633" s="597">
        <f t="shared" si="2689"/>
        <v>2013440.0000000005</v>
      </c>
      <c r="H3633" s="132"/>
    </row>
    <row r="3634" spans="1:8" s="289" customFormat="1" outlineLevel="3">
      <c r="A3634" s="382"/>
      <c r="B3634" s="382"/>
      <c r="C3634" s="512">
        <v>2211201</v>
      </c>
      <c r="D3634" s="382" t="s">
        <v>91</v>
      </c>
      <c r="E3634" s="319">
        <v>1664000</v>
      </c>
      <c r="F3634" s="597">
        <f t="shared" ref="F3634:G3634" si="2690">E3634*1.1</f>
        <v>1830400.0000000002</v>
      </c>
      <c r="G3634" s="597">
        <f t="shared" si="2690"/>
        <v>2013440.0000000005</v>
      </c>
      <c r="H3634" s="132"/>
    </row>
    <row r="3635" spans="1:8" s="300" customFormat="1" outlineLevel="3">
      <c r="A3635" s="429"/>
      <c r="B3635" s="429"/>
      <c r="C3635" s="539">
        <v>2211300</v>
      </c>
      <c r="D3635" s="429" t="s">
        <v>950</v>
      </c>
      <c r="E3635" s="597">
        <f>E3636</f>
        <v>1126400</v>
      </c>
      <c r="F3635" s="597">
        <f t="shared" ref="F3635:G3635" si="2691">E3635*1.1</f>
        <v>1239040</v>
      </c>
      <c r="G3635" s="597">
        <f t="shared" si="2691"/>
        <v>1362944</v>
      </c>
      <c r="H3635" s="132"/>
    </row>
    <row r="3636" spans="1:8" s="289" customFormat="1" outlineLevel="3">
      <c r="A3636" s="382"/>
      <c r="B3636" s="382"/>
      <c r="C3636" s="512">
        <v>2211305</v>
      </c>
      <c r="D3636" s="382" t="s">
        <v>965</v>
      </c>
      <c r="E3636" s="319">
        <v>1126400</v>
      </c>
      <c r="F3636" s="597">
        <f t="shared" ref="F3636:G3636" si="2692">E3636*1.1</f>
        <v>1239040</v>
      </c>
      <c r="G3636" s="597">
        <f t="shared" si="2692"/>
        <v>1362944</v>
      </c>
      <c r="H3636" s="132"/>
    </row>
    <row r="3637" spans="1:8" s="300" customFormat="1" outlineLevel="3">
      <c r="A3637" s="429"/>
      <c r="B3637" s="429"/>
      <c r="C3637" s="539">
        <v>2220100</v>
      </c>
      <c r="D3637" s="429" t="s">
        <v>225</v>
      </c>
      <c r="E3637" s="597">
        <f>E3638</f>
        <v>1208527</v>
      </c>
      <c r="F3637" s="597">
        <f t="shared" ref="F3637:G3637" si="2693">E3637*1.1</f>
        <v>1329379.7000000002</v>
      </c>
      <c r="G3637" s="597">
        <f t="shared" si="2693"/>
        <v>1462317.6700000004</v>
      </c>
      <c r="H3637" s="132"/>
    </row>
    <row r="3638" spans="1:8" s="289" customFormat="1" outlineLevel="3">
      <c r="A3638" s="382"/>
      <c r="B3638" s="382"/>
      <c r="C3638" s="512">
        <v>2220101</v>
      </c>
      <c r="D3638" s="382" t="s">
        <v>225</v>
      </c>
      <c r="E3638" s="319">
        <v>1208527</v>
      </c>
      <c r="F3638" s="597">
        <f t="shared" ref="F3638:G3638" si="2694">E3638*1.1</f>
        <v>1329379.7000000002</v>
      </c>
      <c r="G3638" s="597">
        <f t="shared" si="2694"/>
        <v>1462317.6700000004</v>
      </c>
      <c r="H3638" s="132"/>
    </row>
    <row r="3639" spans="1:8" s="300" customFormat="1" outlineLevel="3">
      <c r="A3639" s="429"/>
      <c r="B3639" s="429"/>
      <c r="C3639" s="539">
        <v>2220200</v>
      </c>
      <c r="D3639" s="429" t="s">
        <v>179</v>
      </c>
      <c r="E3639" s="597">
        <f>SUM(E3640:E3643)</f>
        <v>1423223</v>
      </c>
      <c r="F3639" s="597">
        <f t="shared" ref="F3639:G3639" si="2695">E3639*1.1</f>
        <v>1565545.3</v>
      </c>
      <c r="G3639" s="597">
        <f t="shared" si="2695"/>
        <v>1722099.83</v>
      </c>
      <c r="H3639" s="132"/>
    </row>
    <row r="3640" spans="1:8" s="289" customFormat="1" outlineLevel="3">
      <c r="A3640" s="382"/>
      <c r="B3640" s="382"/>
      <c r="C3640" s="512">
        <v>2220201</v>
      </c>
      <c r="D3640" s="382" t="s">
        <v>341</v>
      </c>
      <c r="E3640" s="319">
        <v>223880</v>
      </c>
      <c r="F3640" s="597">
        <f t="shared" ref="F3640:G3640" si="2696">E3640*1.1</f>
        <v>246268.00000000003</v>
      </c>
      <c r="G3640" s="597">
        <f t="shared" si="2696"/>
        <v>270894.80000000005</v>
      </c>
      <c r="H3640" s="132"/>
    </row>
    <row r="3641" spans="1:8" s="289" customFormat="1" outlineLevel="3">
      <c r="A3641" s="382"/>
      <c r="B3641" s="382"/>
      <c r="C3641" s="512">
        <v>2220202</v>
      </c>
      <c r="D3641" s="382" t="s">
        <v>63</v>
      </c>
      <c r="E3641" s="319">
        <v>470219</v>
      </c>
      <c r="F3641" s="597">
        <f t="shared" ref="F3641:G3641" si="2697">E3641*1.1</f>
        <v>517240.9</v>
      </c>
      <c r="G3641" s="597">
        <f t="shared" si="2697"/>
        <v>568964.99000000011</v>
      </c>
      <c r="H3641" s="132"/>
    </row>
    <row r="3642" spans="1:8" s="289" customFormat="1" outlineLevel="3">
      <c r="A3642" s="382"/>
      <c r="B3642" s="382"/>
      <c r="C3642" s="512">
        <v>2220205</v>
      </c>
      <c r="D3642" s="382" t="s">
        <v>95</v>
      </c>
      <c r="E3642" s="319">
        <v>356844</v>
      </c>
      <c r="F3642" s="597">
        <f t="shared" ref="F3642:G3642" si="2698">E3642*1.1</f>
        <v>392528.4</v>
      </c>
      <c r="G3642" s="597">
        <f t="shared" si="2698"/>
        <v>431781.24000000005</v>
      </c>
      <c r="H3642" s="132"/>
    </row>
    <row r="3643" spans="1:8" s="289" customFormat="1" outlineLevel="3">
      <c r="A3643" s="382"/>
      <c r="B3643" s="382"/>
      <c r="C3643" s="512">
        <v>2220210</v>
      </c>
      <c r="D3643" s="382" t="s">
        <v>181</v>
      </c>
      <c r="E3643" s="319">
        <v>372280</v>
      </c>
      <c r="F3643" s="597">
        <f t="shared" ref="F3643:G3643" si="2699">E3643*1.1</f>
        <v>409508.00000000006</v>
      </c>
      <c r="G3643" s="597">
        <f t="shared" si="2699"/>
        <v>450458.8000000001</v>
      </c>
      <c r="H3643" s="132"/>
    </row>
    <row r="3644" spans="1:8" s="300" customFormat="1" outlineLevel="3">
      <c r="A3644" s="429"/>
      <c r="B3644" s="429"/>
      <c r="C3644" s="539">
        <v>2640400</v>
      </c>
      <c r="D3644" s="429" t="s">
        <v>966</v>
      </c>
      <c r="E3644" s="597">
        <f>E3645</f>
        <v>6167800</v>
      </c>
      <c r="F3644" s="597">
        <f t="shared" ref="F3644:G3644" si="2700">E3644*1.1</f>
        <v>6784580.0000000009</v>
      </c>
      <c r="G3644" s="597">
        <f t="shared" si="2700"/>
        <v>7463038.0000000019</v>
      </c>
      <c r="H3644" s="132"/>
    </row>
    <row r="3645" spans="1:8" s="289" customFormat="1" outlineLevel="3">
      <c r="A3645" s="382"/>
      <c r="B3645" s="382"/>
      <c r="C3645" s="512">
        <v>2640499</v>
      </c>
      <c r="D3645" s="382" t="s">
        <v>967</v>
      </c>
      <c r="E3645" s="319">
        <f>5567800+600000</f>
        <v>6167800</v>
      </c>
      <c r="F3645" s="597">
        <f t="shared" ref="F3645:G3645" si="2701">E3645*1.1</f>
        <v>6784580.0000000009</v>
      </c>
      <c r="G3645" s="597">
        <f t="shared" si="2701"/>
        <v>7463038.0000000019</v>
      </c>
      <c r="H3645" s="132"/>
    </row>
    <row r="3646" spans="1:8" s="300" customFormat="1" outlineLevel="3">
      <c r="A3646" s="429"/>
      <c r="B3646" s="429"/>
      <c r="C3646" s="539">
        <v>3110300</v>
      </c>
      <c r="D3646" s="429" t="s">
        <v>342</v>
      </c>
      <c r="E3646" s="597">
        <f>SUM(E3647:E3648)</f>
        <v>1480000</v>
      </c>
      <c r="F3646" s="597">
        <f t="shared" ref="F3646:G3646" si="2702">E3646*1.1</f>
        <v>1628000.0000000002</v>
      </c>
      <c r="G3646" s="597">
        <f t="shared" si="2702"/>
        <v>1790800.0000000005</v>
      </c>
      <c r="H3646" s="132"/>
    </row>
    <row r="3647" spans="1:8" s="289" customFormat="1" outlineLevel="3">
      <c r="A3647" s="382"/>
      <c r="B3647" s="382"/>
      <c r="C3647" s="512">
        <v>3110302</v>
      </c>
      <c r="D3647" s="382" t="s">
        <v>968</v>
      </c>
      <c r="E3647" s="319">
        <f>260000+700000</f>
        <v>960000</v>
      </c>
      <c r="F3647" s="597">
        <f t="shared" ref="F3647:G3647" si="2703">E3647*1.1</f>
        <v>1056000</v>
      </c>
      <c r="G3647" s="597">
        <f t="shared" si="2703"/>
        <v>1161600</v>
      </c>
      <c r="H3647" s="132"/>
    </row>
    <row r="3648" spans="1:8" s="289" customFormat="1" outlineLevel="3">
      <c r="A3648" s="382"/>
      <c r="B3648" s="382"/>
      <c r="C3648" s="512">
        <v>3111002</v>
      </c>
      <c r="D3648" s="382" t="s">
        <v>969</v>
      </c>
      <c r="E3648" s="319">
        <v>520000</v>
      </c>
      <c r="F3648" s="597">
        <f t="shared" ref="F3648:G3648" si="2704">E3648*1.1</f>
        <v>572000</v>
      </c>
      <c r="G3648" s="597">
        <f t="shared" si="2704"/>
        <v>629200</v>
      </c>
      <c r="H3648" s="132"/>
    </row>
    <row r="3649" spans="1:8" s="300" customFormat="1" outlineLevel="3">
      <c r="A3649" s="429"/>
      <c r="B3649" s="429"/>
      <c r="C3649" s="539">
        <v>3111400</v>
      </c>
      <c r="D3649" s="429" t="s">
        <v>343</v>
      </c>
      <c r="E3649" s="597">
        <f>E3650</f>
        <v>515242</v>
      </c>
      <c r="F3649" s="597">
        <f t="shared" ref="F3649:G3649" si="2705">E3649*1.1</f>
        <v>566766.20000000007</v>
      </c>
      <c r="G3649" s="597">
        <f t="shared" si="2705"/>
        <v>623442.82000000018</v>
      </c>
      <c r="H3649" s="132"/>
    </row>
    <row r="3650" spans="1:8" s="289" customFormat="1" outlineLevel="3">
      <c r="A3650" s="382"/>
      <c r="B3650" s="382"/>
      <c r="C3650" s="512">
        <v>3111499</v>
      </c>
      <c r="D3650" s="382" t="s">
        <v>970</v>
      </c>
      <c r="E3650" s="319">
        <v>515242</v>
      </c>
      <c r="F3650" s="597">
        <f t="shared" ref="F3650:G3650" si="2706">E3650*1.1</f>
        <v>566766.20000000007</v>
      </c>
      <c r="G3650" s="597">
        <f t="shared" si="2706"/>
        <v>623442.82000000018</v>
      </c>
      <c r="H3650" s="132"/>
    </row>
    <row r="3651" spans="1:8" s="300" customFormat="1" outlineLevel="2">
      <c r="A3651" s="429"/>
      <c r="B3651" s="429"/>
      <c r="C3651" s="539"/>
      <c r="D3651" s="429" t="s">
        <v>971</v>
      </c>
      <c r="E3651" s="597">
        <f>E3649+E3646+E3644+E3639+E3637+E3635+E3633+E3629+E3625+E3623+E3619+E3617+E3615+E3611+E3607+E3604+E3602</f>
        <v>28290034</v>
      </c>
      <c r="F3651" s="597">
        <f t="shared" ref="F3651:G3651" si="2707">E3651*1.1</f>
        <v>31119037.400000002</v>
      </c>
      <c r="G3651" s="597">
        <f t="shared" si="2707"/>
        <v>34230941.140000008</v>
      </c>
      <c r="H3651" s="132"/>
    </row>
    <row r="3652" spans="1:8" s="289" customFormat="1" outlineLevel="2">
      <c r="A3652" s="382"/>
      <c r="B3652" s="382"/>
      <c r="C3652" s="512"/>
      <c r="D3652" s="382"/>
      <c r="E3652" s="319"/>
      <c r="F3652" s="597">
        <f t="shared" ref="F3652:G3652" si="2708">E3652*1.1</f>
        <v>0</v>
      </c>
      <c r="G3652" s="597">
        <f t="shared" si="2708"/>
        <v>0</v>
      </c>
      <c r="H3652" s="132"/>
    </row>
    <row r="3653" spans="1:8" s="300" customFormat="1" outlineLevel="2">
      <c r="A3653" s="429"/>
      <c r="B3653" s="429"/>
      <c r="C3653" s="539"/>
      <c r="D3653" s="429" t="s">
        <v>184</v>
      </c>
      <c r="E3653" s="597"/>
      <c r="F3653" s="597">
        <f t="shared" ref="F3653:G3653" si="2709">E3653*1.1</f>
        <v>0</v>
      </c>
      <c r="G3653" s="597">
        <f t="shared" si="2709"/>
        <v>0</v>
      </c>
      <c r="H3653" s="132"/>
    </row>
    <row r="3654" spans="1:8" s="300" customFormat="1" outlineLevel="3">
      <c r="A3654" s="429"/>
      <c r="B3654" s="429"/>
      <c r="C3654" s="539">
        <v>2210500</v>
      </c>
      <c r="D3654" s="429" t="s">
        <v>30</v>
      </c>
      <c r="E3654" s="597">
        <f>E3655</f>
        <v>30000000</v>
      </c>
      <c r="F3654" s="597">
        <f t="shared" ref="F3654:G3654" si="2710">E3654*1.1</f>
        <v>33000000.000000004</v>
      </c>
      <c r="G3654" s="597">
        <f t="shared" si="2710"/>
        <v>36300000.000000007</v>
      </c>
      <c r="H3654" s="132"/>
    </row>
    <row r="3655" spans="1:8" s="289" customFormat="1" outlineLevel="3">
      <c r="A3655" s="382"/>
      <c r="B3655" s="382"/>
      <c r="C3655" s="512">
        <v>2210505</v>
      </c>
      <c r="D3655" s="382" t="s">
        <v>213</v>
      </c>
      <c r="E3655" s="319">
        <v>30000000</v>
      </c>
      <c r="F3655" s="597">
        <f t="shared" ref="F3655:G3655" si="2711">E3655*1.1</f>
        <v>33000000.000000004</v>
      </c>
      <c r="G3655" s="597">
        <f t="shared" si="2711"/>
        <v>36300000.000000007</v>
      </c>
      <c r="H3655" s="132"/>
    </row>
    <row r="3656" spans="1:8" s="300" customFormat="1" outlineLevel="3">
      <c r="A3656" s="429"/>
      <c r="B3656" s="429"/>
      <c r="C3656" s="539">
        <v>2211000</v>
      </c>
      <c r="D3656" s="429" t="s">
        <v>972</v>
      </c>
      <c r="E3656" s="597">
        <f>E3657+E3658</f>
        <v>1143000</v>
      </c>
      <c r="F3656" s="597">
        <f t="shared" ref="F3656:G3656" si="2712">E3656*1.1</f>
        <v>1257300</v>
      </c>
      <c r="G3656" s="597">
        <f t="shared" si="2712"/>
        <v>1383030</v>
      </c>
      <c r="H3656" s="132"/>
    </row>
    <row r="3657" spans="1:8" s="289" customFormat="1" outlineLevel="3">
      <c r="A3657" s="382"/>
      <c r="B3657" s="382"/>
      <c r="C3657" s="512">
        <v>2211007</v>
      </c>
      <c r="D3657" s="382" t="s">
        <v>973</v>
      </c>
      <c r="E3657" s="319">
        <v>1000000</v>
      </c>
      <c r="F3657" s="597">
        <f t="shared" ref="F3657:G3657" si="2713">E3657*1.1</f>
        <v>1100000</v>
      </c>
      <c r="G3657" s="597">
        <f t="shared" si="2713"/>
        <v>1210000</v>
      </c>
      <c r="H3657" s="132"/>
    </row>
    <row r="3658" spans="1:8" s="289" customFormat="1" outlineLevel="3">
      <c r="A3658" s="382"/>
      <c r="B3658" s="382"/>
      <c r="C3658" s="512">
        <v>2211007</v>
      </c>
      <c r="D3658" s="382" t="s">
        <v>974</v>
      </c>
      <c r="E3658" s="319">
        <v>143000</v>
      </c>
      <c r="F3658" s="597">
        <f t="shared" ref="F3658:G3658" si="2714">E3658*1.1</f>
        <v>157300</v>
      </c>
      <c r="G3658" s="597">
        <f t="shared" si="2714"/>
        <v>173030</v>
      </c>
      <c r="H3658" s="132"/>
    </row>
    <row r="3659" spans="1:8" s="300" customFormat="1" outlineLevel="3">
      <c r="A3659" s="429"/>
      <c r="B3659" s="429"/>
      <c r="C3659" s="539">
        <v>3110500</v>
      </c>
      <c r="D3659" s="429" t="s">
        <v>305</v>
      </c>
      <c r="E3659" s="597">
        <f>SUM(E3660:E3662)</f>
        <v>6500000</v>
      </c>
      <c r="F3659" s="597">
        <f t="shared" ref="F3659:G3659" si="2715">E3659*1.1</f>
        <v>7150000.0000000009</v>
      </c>
      <c r="G3659" s="597">
        <f t="shared" si="2715"/>
        <v>7865000.0000000019</v>
      </c>
      <c r="H3659" s="132"/>
    </row>
    <row r="3660" spans="1:8" s="289" customFormat="1" outlineLevel="3">
      <c r="A3660" s="382"/>
      <c r="B3660" s="382"/>
      <c r="C3660" s="512">
        <v>3110504</v>
      </c>
      <c r="D3660" s="382" t="s">
        <v>975</v>
      </c>
      <c r="E3660" s="319">
        <v>3000000</v>
      </c>
      <c r="F3660" s="597">
        <f t="shared" ref="F3660:G3660" si="2716">E3660*1.1</f>
        <v>3300000.0000000005</v>
      </c>
      <c r="G3660" s="597">
        <f t="shared" si="2716"/>
        <v>3630000.0000000009</v>
      </c>
      <c r="H3660" s="132"/>
    </row>
    <row r="3661" spans="1:8" s="289" customFormat="1" outlineLevel="3">
      <c r="A3661" s="382"/>
      <c r="B3661" s="382"/>
      <c r="C3661" s="512">
        <v>3110504</v>
      </c>
      <c r="D3661" s="382" t="s">
        <v>976</v>
      </c>
      <c r="E3661" s="319">
        <v>500000</v>
      </c>
      <c r="F3661" s="597">
        <f t="shared" ref="F3661:G3661" si="2717">E3661*1.1</f>
        <v>550000</v>
      </c>
      <c r="G3661" s="597">
        <f t="shared" si="2717"/>
        <v>605000</v>
      </c>
      <c r="H3661" s="132"/>
    </row>
    <row r="3662" spans="1:8" s="289" customFormat="1" ht="30" outlineLevel="3">
      <c r="A3662" s="382"/>
      <c r="B3662" s="382"/>
      <c r="C3662" s="512">
        <v>3110599</v>
      </c>
      <c r="D3662" s="557" t="s">
        <v>977</v>
      </c>
      <c r="E3662" s="319">
        <f>2000000+1000000</f>
        <v>3000000</v>
      </c>
      <c r="F3662" s="597">
        <f t="shared" ref="F3662:G3662" si="2718">E3662*1.1</f>
        <v>3300000.0000000005</v>
      </c>
      <c r="G3662" s="597">
        <f t="shared" si="2718"/>
        <v>3630000.0000000009</v>
      </c>
      <c r="H3662" s="132"/>
    </row>
    <row r="3663" spans="1:8" s="300" customFormat="1" outlineLevel="3">
      <c r="A3663" s="429"/>
      <c r="B3663" s="429"/>
      <c r="C3663" s="539">
        <v>3111300</v>
      </c>
      <c r="D3663" s="429" t="s">
        <v>978</v>
      </c>
      <c r="E3663" s="597">
        <f>E3664+E3665</f>
        <v>2800000</v>
      </c>
      <c r="F3663" s="597">
        <f t="shared" ref="F3663:G3663" si="2719">E3663*1.1</f>
        <v>3080000.0000000005</v>
      </c>
      <c r="G3663" s="597">
        <f t="shared" si="2719"/>
        <v>3388000.0000000009</v>
      </c>
      <c r="H3663" s="132"/>
    </row>
    <row r="3664" spans="1:8" s="289" customFormat="1" outlineLevel="3">
      <c r="A3664" s="382"/>
      <c r="B3664" s="382"/>
      <c r="C3664" s="512">
        <v>3111301</v>
      </c>
      <c r="D3664" s="382" t="s">
        <v>979</v>
      </c>
      <c r="E3664" s="319">
        <v>500000</v>
      </c>
      <c r="F3664" s="597">
        <f t="shared" ref="F3664:G3664" si="2720">E3664*1.1</f>
        <v>550000</v>
      </c>
      <c r="G3664" s="597">
        <f t="shared" si="2720"/>
        <v>605000</v>
      </c>
      <c r="H3664" s="132"/>
    </row>
    <row r="3665" spans="1:8" s="289" customFormat="1" outlineLevel="3">
      <c r="A3665" s="382"/>
      <c r="B3665" s="382"/>
      <c r="C3665" s="512">
        <v>3111301</v>
      </c>
      <c r="D3665" s="382" t="s">
        <v>980</v>
      </c>
      <c r="E3665" s="319">
        <f>1300000+500000+500000</f>
        <v>2300000</v>
      </c>
      <c r="F3665" s="597">
        <f t="shared" ref="F3665:G3665" si="2721">E3665*1.1</f>
        <v>2530000</v>
      </c>
      <c r="G3665" s="597">
        <f t="shared" si="2721"/>
        <v>2783000</v>
      </c>
      <c r="H3665" s="132"/>
    </row>
    <row r="3666" spans="1:8" s="300" customFormat="1" outlineLevel="3">
      <c r="A3666" s="429"/>
      <c r="B3666" s="429"/>
      <c r="C3666" s="539">
        <v>3111400</v>
      </c>
      <c r="D3666" s="429" t="s">
        <v>343</v>
      </c>
      <c r="E3666" s="597">
        <f>E3667</f>
        <v>15000000</v>
      </c>
      <c r="F3666" s="597">
        <f t="shared" ref="F3666:G3666" si="2722">E3666*1.1</f>
        <v>16500000.000000002</v>
      </c>
      <c r="G3666" s="597">
        <f t="shared" si="2722"/>
        <v>18150000.000000004</v>
      </c>
      <c r="H3666" s="132"/>
    </row>
    <row r="3667" spans="1:8" s="289" customFormat="1" outlineLevel="3">
      <c r="A3667" s="382"/>
      <c r="B3667" s="382"/>
      <c r="C3667" s="512">
        <v>3111499</v>
      </c>
      <c r="D3667" s="382" t="s">
        <v>981</v>
      </c>
      <c r="E3667" s="319">
        <f>18500000-3500000</f>
        <v>15000000</v>
      </c>
      <c r="F3667" s="597">
        <f t="shared" ref="F3667:G3667" si="2723">E3667*1.1</f>
        <v>16500000.000000002</v>
      </c>
      <c r="G3667" s="597">
        <f t="shared" si="2723"/>
        <v>18150000.000000004</v>
      </c>
      <c r="H3667" s="132"/>
    </row>
    <row r="3668" spans="1:8" s="300" customFormat="1" outlineLevel="2">
      <c r="A3668" s="429"/>
      <c r="B3668" s="429"/>
      <c r="C3668" s="539"/>
      <c r="D3668" s="429" t="s">
        <v>569</v>
      </c>
      <c r="E3668" s="597">
        <f>E3666+E3659+E3656+E3654+E3663</f>
        <v>55443000</v>
      </c>
      <c r="F3668" s="597">
        <f t="shared" ref="F3668:G3668" si="2724">E3668*1.1</f>
        <v>60987300.000000007</v>
      </c>
      <c r="G3668" s="597">
        <f t="shared" si="2724"/>
        <v>67086030.000000015</v>
      </c>
      <c r="H3668" s="132"/>
    </row>
    <row r="3669" spans="1:8" s="300" customFormat="1" outlineLevel="1">
      <c r="A3669" s="429"/>
      <c r="B3669" s="429"/>
      <c r="C3669" s="539"/>
      <c r="D3669" s="429" t="s">
        <v>80</v>
      </c>
      <c r="E3669" s="597">
        <f>E3668+E3651</f>
        <v>83733034</v>
      </c>
      <c r="F3669" s="597">
        <f t="shared" ref="F3669:G3669" si="2725">E3669*1.1</f>
        <v>92106337.400000006</v>
      </c>
      <c r="G3669" s="597">
        <f t="shared" si="2725"/>
        <v>101316971.14000002</v>
      </c>
      <c r="H3669" s="132"/>
    </row>
    <row r="3670" spans="1:8" s="289" customFormat="1" outlineLevel="1">
      <c r="A3670" s="382"/>
      <c r="B3670" s="382"/>
      <c r="C3670" s="512"/>
      <c r="D3670" s="382"/>
      <c r="E3670" s="319"/>
      <c r="F3670" s="597">
        <f t="shared" ref="F3670:G3670" si="2726">E3670*1.1</f>
        <v>0</v>
      </c>
      <c r="G3670" s="597">
        <f t="shared" si="2726"/>
        <v>0</v>
      </c>
      <c r="H3670" s="132"/>
    </row>
    <row r="3671" spans="1:8" s="300" customFormat="1" outlineLevel="1">
      <c r="A3671" s="429"/>
      <c r="B3671" s="429"/>
      <c r="C3671" s="539" t="s">
        <v>982</v>
      </c>
      <c r="D3671" s="429"/>
      <c r="E3671" s="597"/>
      <c r="F3671" s="597">
        <f t="shared" ref="F3671:G3671" si="2727">E3671*1.1</f>
        <v>0</v>
      </c>
      <c r="G3671" s="597">
        <f t="shared" si="2727"/>
        <v>0</v>
      </c>
      <c r="H3671" s="132"/>
    </row>
    <row r="3672" spans="1:8" s="300" customFormat="1" outlineLevel="1">
      <c r="A3672" s="429"/>
      <c r="B3672" s="429"/>
      <c r="C3672" s="539" t="s">
        <v>983</v>
      </c>
      <c r="D3672" s="429"/>
      <c r="E3672" s="597"/>
      <c r="F3672" s="597">
        <f t="shared" ref="F3672:G3672" si="2728">E3672*1.1</f>
        <v>0</v>
      </c>
      <c r="G3672" s="597">
        <f t="shared" si="2728"/>
        <v>0</v>
      </c>
      <c r="H3672" s="132"/>
    </row>
    <row r="3673" spans="1:8" s="300" customFormat="1" outlineLevel="1">
      <c r="A3673" s="429"/>
      <c r="B3673" s="429"/>
      <c r="C3673" s="539" t="s">
        <v>984</v>
      </c>
      <c r="D3673" s="429"/>
      <c r="E3673" s="597"/>
      <c r="F3673" s="597">
        <f t="shared" ref="F3673:G3673" si="2729">E3673*1.1</f>
        <v>0</v>
      </c>
      <c r="G3673" s="597">
        <f t="shared" si="2729"/>
        <v>0</v>
      </c>
      <c r="H3673" s="132"/>
    </row>
    <row r="3674" spans="1:8" s="300" customFormat="1" outlineLevel="3">
      <c r="A3674" s="429"/>
      <c r="B3674" s="429"/>
      <c r="C3674" s="539">
        <v>2210100</v>
      </c>
      <c r="D3674" s="429" t="s">
        <v>16</v>
      </c>
      <c r="E3674" s="597">
        <f>SUM(E3675:E3676)</f>
        <v>178700</v>
      </c>
      <c r="F3674" s="597">
        <f t="shared" ref="F3674:G3674" si="2730">E3674*1.1</f>
        <v>196570.00000000003</v>
      </c>
      <c r="G3674" s="597">
        <f t="shared" si="2730"/>
        <v>216227.00000000006</v>
      </c>
      <c r="H3674" s="132"/>
    </row>
    <row r="3675" spans="1:8" s="289" customFormat="1" outlineLevel="3">
      <c r="A3675" s="382"/>
      <c r="B3675" s="382"/>
      <c r="C3675" s="512">
        <v>2210101</v>
      </c>
      <c r="D3675" s="382" t="s">
        <v>985</v>
      </c>
      <c r="E3675" s="319">
        <v>115800</v>
      </c>
      <c r="F3675" s="597">
        <f t="shared" ref="F3675:G3675" si="2731">E3675*1.1</f>
        <v>127380.00000000001</v>
      </c>
      <c r="G3675" s="597">
        <f t="shared" si="2731"/>
        <v>140118.00000000003</v>
      </c>
      <c r="H3675" s="132"/>
    </row>
    <row r="3676" spans="1:8" s="289" customFormat="1" outlineLevel="3">
      <c r="A3676" s="382"/>
      <c r="B3676" s="382"/>
      <c r="C3676" s="512">
        <v>2210102</v>
      </c>
      <c r="D3676" s="382" t="s">
        <v>986</v>
      </c>
      <c r="E3676" s="319">
        <v>62900</v>
      </c>
      <c r="F3676" s="597">
        <f t="shared" ref="F3676:G3676" si="2732">E3676*1.1</f>
        <v>69190</v>
      </c>
      <c r="G3676" s="597">
        <f t="shared" si="2732"/>
        <v>76109</v>
      </c>
      <c r="H3676" s="132"/>
    </row>
    <row r="3677" spans="1:8" s="300" customFormat="1" outlineLevel="3">
      <c r="A3677" s="429"/>
      <c r="B3677" s="429"/>
      <c r="C3677" s="539">
        <v>2210200</v>
      </c>
      <c r="D3677" s="429" t="s">
        <v>19</v>
      </c>
      <c r="E3677" s="597">
        <f>E3678</f>
        <v>155800</v>
      </c>
      <c r="F3677" s="597">
        <f t="shared" ref="F3677:G3677" si="2733">E3677*1.1</f>
        <v>171380</v>
      </c>
      <c r="G3677" s="597">
        <f t="shared" si="2733"/>
        <v>188518.00000000003</v>
      </c>
      <c r="H3677" s="132"/>
    </row>
    <row r="3678" spans="1:8" s="289" customFormat="1" outlineLevel="3">
      <c r="A3678" s="382"/>
      <c r="B3678" s="382"/>
      <c r="C3678" s="512">
        <v>2210201</v>
      </c>
      <c r="D3678" s="429" t="s">
        <v>987</v>
      </c>
      <c r="E3678" s="319">
        <v>155800</v>
      </c>
      <c r="F3678" s="597">
        <f t="shared" ref="F3678:G3678" si="2734">E3678*1.1</f>
        <v>171380</v>
      </c>
      <c r="G3678" s="597">
        <f t="shared" si="2734"/>
        <v>188518.00000000003</v>
      </c>
      <c r="H3678" s="132"/>
    </row>
    <row r="3679" spans="1:8" s="300" customFormat="1" outlineLevel="3">
      <c r="A3679" s="429"/>
      <c r="B3679" s="429"/>
      <c r="C3679" s="539">
        <v>2210300</v>
      </c>
      <c r="D3679" s="429" t="s">
        <v>318</v>
      </c>
      <c r="E3679" s="597">
        <f>SUM(E3680:E3682)</f>
        <v>1266000</v>
      </c>
      <c r="F3679" s="597">
        <f t="shared" ref="F3679:G3679" si="2735">E3679*1.1</f>
        <v>1392600</v>
      </c>
      <c r="G3679" s="597">
        <f t="shared" si="2735"/>
        <v>1531860.0000000002</v>
      </c>
      <c r="H3679" s="132"/>
    </row>
    <row r="3680" spans="1:8" s="289" customFormat="1" outlineLevel="3">
      <c r="A3680" s="382"/>
      <c r="B3680" s="382"/>
      <c r="C3680" s="512">
        <v>2210301</v>
      </c>
      <c r="D3680" s="382" t="s">
        <v>24</v>
      </c>
      <c r="E3680" s="319">
        <v>458000</v>
      </c>
      <c r="F3680" s="597">
        <f t="shared" ref="F3680:G3680" si="2736">E3680*1.1</f>
        <v>503800.00000000006</v>
      </c>
      <c r="G3680" s="597">
        <f t="shared" si="2736"/>
        <v>554180.00000000012</v>
      </c>
      <c r="H3680" s="132"/>
    </row>
    <row r="3681" spans="1:8" s="289" customFormat="1" outlineLevel="3">
      <c r="A3681" s="382"/>
      <c r="B3681" s="382"/>
      <c r="C3681" s="512">
        <v>2210302</v>
      </c>
      <c r="D3681" s="382" t="s">
        <v>988</v>
      </c>
      <c r="E3681" s="319">
        <v>329000</v>
      </c>
      <c r="F3681" s="597">
        <f t="shared" ref="F3681:G3681" si="2737">E3681*1.1</f>
        <v>361900.00000000006</v>
      </c>
      <c r="G3681" s="597">
        <f t="shared" si="2737"/>
        <v>398090.00000000012</v>
      </c>
      <c r="H3681" s="132"/>
    </row>
    <row r="3682" spans="1:8" s="289" customFormat="1" outlineLevel="3">
      <c r="A3682" s="382"/>
      <c r="B3682" s="382"/>
      <c r="C3682" s="512">
        <v>2210303</v>
      </c>
      <c r="D3682" s="382" t="s">
        <v>26</v>
      </c>
      <c r="E3682" s="319">
        <v>479000</v>
      </c>
      <c r="F3682" s="597">
        <f t="shared" ref="F3682:G3682" si="2738">E3682*1.1</f>
        <v>526900</v>
      </c>
      <c r="G3682" s="597">
        <f t="shared" si="2738"/>
        <v>579590</v>
      </c>
      <c r="H3682" s="132"/>
    </row>
    <row r="3683" spans="1:8" s="300" customFormat="1" outlineLevel="3">
      <c r="A3683" s="429"/>
      <c r="B3683" s="429"/>
      <c r="C3683" s="539">
        <v>2210500</v>
      </c>
      <c r="D3683" s="429" t="s">
        <v>30</v>
      </c>
      <c r="E3683" s="597">
        <f>SUM(E3684:E3685)</f>
        <v>167748</v>
      </c>
      <c r="F3683" s="597">
        <f t="shared" ref="F3683:G3683" si="2739">E3683*1.1</f>
        <v>184522.80000000002</v>
      </c>
      <c r="G3683" s="597">
        <f t="shared" si="2739"/>
        <v>202975.08000000005</v>
      </c>
      <c r="H3683" s="132"/>
    </row>
    <row r="3684" spans="1:8" s="289" customFormat="1" outlineLevel="3">
      <c r="A3684" s="382"/>
      <c r="B3684" s="382"/>
      <c r="C3684" s="512">
        <v>2210502</v>
      </c>
      <c r="D3684" s="382" t="s">
        <v>989</v>
      </c>
      <c r="E3684" s="319">
        <v>154437</v>
      </c>
      <c r="F3684" s="597">
        <f t="shared" ref="F3684:G3684" si="2740">E3684*1.1</f>
        <v>169880.7</v>
      </c>
      <c r="G3684" s="597">
        <f t="shared" si="2740"/>
        <v>186868.77000000002</v>
      </c>
      <c r="H3684" s="132"/>
    </row>
    <row r="3685" spans="1:8" s="289" customFormat="1" outlineLevel="3">
      <c r="A3685" s="382"/>
      <c r="B3685" s="382"/>
      <c r="C3685" s="512">
        <v>2210503</v>
      </c>
      <c r="D3685" s="382" t="s">
        <v>31</v>
      </c>
      <c r="E3685" s="319">
        <v>13311</v>
      </c>
      <c r="F3685" s="597">
        <f t="shared" ref="F3685:G3685" si="2741">E3685*1.1</f>
        <v>14642.1</v>
      </c>
      <c r="G3685" s="597">
        <f t="shared" si="2741"/>
        <v>16106.310000000001</v>
      </c>
      <c r="H3685" s="132"/>
    </row>
    <row r="3686" spans="1:8" s="300" customFormat="1" outlineLevel="3">
      <c r="A3686" s="429"/>
      <c r="B3686" s="429"/>
      <c r="C3686" s="539">
        <v>2210700</v>
      </c>
      <c r="D3686" s="429" t="s">
        <v>165</v>
      </c>
      <c r="E3686" s="597">
        <f>SUM(E3687:E3689)</f>
        <v>1018878</v>
      </c>
      <c r="F3686" s="597">
        <f t="shared" ref="F3686:G3686" si="2742">E3686*1.1</f>
        <v>1120765.8</v>
      </c>
      <c r="G3686" s="597">
        <f t="shared" si="2742"/>
        <v>1232842.3800000001</v>
      </c>
      <c r="H3686" s="132"/>
    </row>
    <row r="3687" spans="1:8" s="289" customFormat="1" outlineLevel="3">
      <c r="A3687" s="382"/>
      <c r="B3687" s="382"/>
      <c r="C3687" s="512">
        <v>2210701</v>
      </c>
      <c r="D3687" s="382" t="s">
        <v>990</v>
      </c>
      <c r="E3687" s="319">
        <v>267649</v>
      </c>
      <c r="F3687" s="597">
        <f t="shared" ref="F3687:G3687" si="2743">E3687*1.1</f>
        <v>294413.90000000002</v>
      </c>
      <c r="G3687" s="597">
        <f t="shared" si="2743"/>
        <v>323855.29000000004</v>
      </c>
      <c r="H3687" s="132"/>
    </row>
    <row r="3688" spans="1:8" s="289" customFormat="1" outlineLevel="3">
      <c r="A3688" s="382"/>
      <c r="B3688" s="382"/>
      <c r="C3688" s="512">
        <v>2210704</v>
      </c>
      <c r="D3688" s="382" t="s">
        <v>991</v>
      </c>
      <c r="E3688" s="319">
        <v>19000</v>
      </c>
      <c r="F3688" s="597">
        <f t="shared" ref="F3688:G3688" si="2744">E3688*1.1</f>
        <v>20900</v>
      </c>
      <c r="G3688" s="597">
        <f t="shared" si="2744"/>
        <v>22990.000000000004</v>
      </c>
      <c r="H3688" s="132"/>
    </row>
    <row r="3689" spans="1:8" s="289" customFormat="1" outlineLevel="3">
      <c r="A3689" s="382"/>
      <c r="B3689" s="382"/>
      <c r="C3689" s="512">
        <v>2210710</v>
      </c>
      <c r="D3689" s="382" t="s">
        <v>38</v>
      </c>
      <c r="E3689" s="319">
        <v>732229</v>
      </c>
      <c r="F3689" s="597">
        <f t="shared" ref="F3689:G3689" si="2745">E3689*1.1</f>
        <v>805451.9</v>
      </c>
      <c r="G3689" s="597">
        <f t="shared" si="2745"/>
        <v>885997.09000000008</v>
      </c>
      <c r="H3689" s="132"/>
    </row>
    <row r="3690" spans="1:8" s="300" customFormat="1" outlineLevel="3">
      <c r="A3690" s="429"/>
      <c r="B3690" s="429"/>
      <c r="C3690" s="539">
        <v>2210800</v>
      </c>
      <c r="D3690" s="429" t="s">
        <v>41</v>
      </c>
      <c r="E3690" s="597">
        <f>E3691</f>
        <v>426622</v>
      </c>
      <c r="F3690" s="597">
        <f t="shared" ref="F3690:G3690" si="2746">E3690*1.1</f>
        <v>469284.2</v>
      </c>
      <c r="G3690" s="597">
        <f t="shared" si="2746"/>
        <v>516212.62000000005</v>
      </c>
      <c r="H3690" s="132"/>
    </row>
    <row r="3691" spans="1:8" s="289" customFormat="1" outlineLevel="3">
      <c r="A3691" s="382"/>
      <c r="B3691" s="382"/>
      <c r="C3691" s="512">
        <v>2210801</v>
      </c>
      <c r="D3691" s="382" t="s">
        <v>112</v>
      </c>
      <c r="E3691" s="319">
        <v>426622</v>
      </c>
      <c r="F3691" s="597">
        <f t="shared" ref="F3691:G3691" si="2747">E3691*1.1</f>
        <v>469284.2</v>
      </c>
      <c r="G3691" s="597">
        <f t="shared" si="2747"/>
        <v>516212.62000000005</v>
      </c>
      <c r="H3691" s="132"/>
    </row>
    <row r="3692" spans="1:8" s="300" customFormat="1" outlineLevel="3">
      <c r="A3692" s="429"/>
      <c r="B3692" s="429"/>
      <c r="C3692" s="539">
        <v>2211000</v>
      </c>
      <c r="D3692" s="429" t="s">
        <v>173</v>
      </c>
      <c r="E3692" s="597">
        <f>E3693</f>
        <v>458000</v>
      </c>
      <c r="F3692" s="597">
        <f t="shared" ref="F3692:G3692" si="2748">E3692*1.1</f>
        <v>503800.00000000006</v>
      </c>
      <c r="G3692" s="597">
        <f t="shared" si="2748"/>
        <v>554180.00000000012</v>
      </c>
      <c r="H3692" s="132"/>
    </row>
    <row r="3693" spans="1:8" s="289" customFormat="1" outlineLevel="3">
      <c r="A3693" s="382"/>
      <c r="B3693" s="382"/>
      <c r="C3693" s="512">
        <v>2211007</v>
      </c>
      <c r="D3693" s="382" t="s">
        <v>992</v>
      </c>
      <c r="E3693" s="319">
        <v>458000</v>
      </c>
      <c r="F3693" s="597">
        <f t="shared" ref="F3693:G3693" si="2749">E3693*1.1</f>
        <v>503800.00000000006</v>
      </c>
      <c r="G3693" s="597">
        <f t="shared" si="2749"/>
        <v>554180.00000000012</v>
      </c>
      <c r="H3693" s="132"/>
    </row>
    <row r="3694" spans="1:8" s="300" customFormat="1" outlineLevel="3">
      <c r="A3694" s="429"/>
      <c r="B3694" s="429"/>
      <c r="C3694" s="539">
        <v>2211100</v>
      </c>
      <c r="D3694" s="429" t="s">
        <v>49</v>
      </c>
      <c r="E3694" s="597">
        <f>SUM(E3695:E3697)</f>
        <v>934576</v>
      </c>
      <c r="F3694" s="597">
        <f t="shared" ref="F3694:G3694" si="2750">E3694*1.1</f>
        <v>1028033.6000000001</v>
      </c>
      <c r="G3694" s="597">
        <f t="shared" si="2750"/>
        <v>1130836.9600000002</v>
      </c>
      <c r="H3694" s="132"/>
    </row>
    <row r="3695" spans="1:8" s="289" customFormat="1" outlineLevel="3">
      <c r="A3695" s="382"/>
      <c r="B3695" s="382"/>
      <c r="C3695" s="512">
        <v>2211101</v>
      </c>
      <c r="D3695" s="382" t="s">
        <v>993</v>
      </c>
      <c r="E3695" s="319">
        <v>539370</v>
      </c>
      <c r="F3695" s="597">
        <f t="shared" ref="F3695:G3695" si="2751">E3695*1.1</f>
        <v>593307</v>
      </c>
      <c r="G3695" s="597">
        <f t="shared" si="2751"/>
        <v>652637.70000000007</v>
      </c>
      <c r="H3695" s="132"/>
    </row>
    <row r="3696" spans="1:8" s="289" customFormat="1" outlineLevel="3">
      <c r="A3696" s="382"/>
      <c r="B3696" s="382"/>
      <c r="C3696" s="512">
        <v>2211102</v>
      </c>
      <c r="D3696" s="382" t="s">
        <v>994</v>
      </c>
      <c r="E3696" s="319">
        <v>275955</v>
      </c>
      <c r="F3696" s="597">
        <f t="shared" ref="F3696:G3696" si="2752">E3696*1.1</f>
        <v>303550.5</v>
      </c>
      <c r="G3696" s="597">
        <f t="shared" si="2752"/>
        <v>333905.55000000005</v>
      </c>
      <c r="H3696" s="132"/>
    </row>
    <row r="3697" spans="1:8" s="289" customFormat="1" outlineLevel="3">
      <c r="A3697" s="382"/>
      <c r="B3697" s="382"/>
      <c r="C3697" s="512">
        <v>2211103</v>
      </c>
      <c r="D3697" s="382" t="s">
        <v>52</v>
      </c>
      <c r="E3697" s="319">
        <v>119251</v>
      </c>
      <c r="F3697" s="597">
        <f t="shared" ref="F3697:G3697" si="2753">E3697*1.1</f>
        <v>131176.1</v>
      </c>
      <c r="G3697" s="597">
        <f t="shared" si="2753"/>
        <v>144293.71000000002</v>
      </c>
      <c r="H3697" s="132"/>
    </row>
    <row r="3698" spans="1:8" s="300" customFormat="1" outlineLevel="3">
      <c r="A3698" s="429"/>
      <c r="B3698" s="429"/>
      <c r="C3698" s="539">
        <v>2211200</v>
      </c>
      <c r="D3698" s="429" t="s">
        <v>53</v>
      </c>
      <c r="E3698" s="597">
        <f>E3699</f>
        <v>573335</v>
      </c>
      <c r="F3698" s="597">
        <f t="shared" ref="F3698:G3698" si="2754">E3698*1.1</f>
        <v>630668.5</v>
      </c>
      <c r="G3698" s="597">
        <f t="shared" si="2754"/>
        <v>693735.35000000009</v>
      </c>
      <c r="H3698" s="132"/>
    </row>
    <row r="3699" spans="1:8" s="289" customFormat="1" outlineLevel="3">
      <c r="A3699" s="382"/>
      <c r="B3699" s="382"/>
      <c r="C3699" s="512">
        <v>2211201</v>
      </c>
      <c r="D3699" s="382" t="s">
        <v>91</v>
      </c>
      <c r="E3699" s="319">
        <v>573335</v>
      </c>
      <c r="F3699" s="597">
        <f t="shared" ref="F3699:G3699" si="2755">E3699*1.1</f>
        <v>630668.5</v>
      </c>
      <c r="G3699" s="597">
        <f t="shared" si="2755"/>
        <v>693735.35000000009</v>
      </c>
      <c r="H3699" s="132"/>
    </row>
    <row r="3700" spans="1:8" s="300" customFormat="1" outlineLevel="3">
      <c r="A3700" s="429"/>
      <c r="B3700" s="429"/>
      <c r="C3700" s="539">
        <v>2211300</v>
      </c>
      <c r="D3700" s="429" t="s">
        <v>55</v>
      </c>
      <c r="E3700" s="597">
        <f>E3701</f>
        <v>29680</v>
      </c>
      <c r="F3700" s="597">
        <f t="shared" ref="F3700:G3700" si="2756">E3700*1.1</f>
        <v>32648.000000000004</v>
      </c>
      <c r="G3700" s="597">
        <f t="shared" si="2756"/>
        <v>35912.80000000001</v>
      </c>
      <c r="H3700" s="132"/>
    </row>
    <row r="3701" spans="1:8" s="289" customFormat="1" outlineLevel="3">
      <c r="A3701" s="382"/>
      <c r="B3701" s="382"/>
      <c r="C3701" s="512">
        <v>2211305</v>
      </c>
      <c r="D3701" s="382" t="s">
        <v>451</v>
      </c>
      <c r="E3701" s="319">
        <v>29680</v>
      </c>
      <c r="F3701" s="597">
        <f t="shared" ref="F3701:G3701" si="2757">E3701*1.1</f>
        <v>32648.000000000004</v>
      </c>
      <c r="G3701" s="597">
        <f t="shared" si="2757"/>
        <v>35912.80000000001</v>
      </c>
      <c r="H3701" s="132"/>
    </row>
    <row r="3702" spans="1:8" s="300" customFormat="1" outlineLevel="3">
      <c r="A3702" s="429"/>
      <c r="B3702" s="429"/>
      <c r="C3702" s="539">
        <v>2220100</v>
      </c>
      <c r="D3702" s="429" t="s">
        <v>225</v>
      </c>
      <c r="E3702" s="597">
        <f>E3703</f>
        <v>482555</v>
      </c>
      <c r="F3702" s="597">
        <f t="shared" ref="F3702:G3702" si="2758">E3702*1.1</f>
        <v>530810.5</v>
      </c>
      <c r="G3702" s="597">
        <f t="shared" si="2758"/>
        <v>583891.55000000005</v>
      </c>
      <c r="H3702" s="132"/>
    </row>
    <row r="3703" spans="1:8" s="289" customFormat="1" outlineLevel="3">
      <c r="A3703" s="382"/>
      <c r="B3703" s="382"/>
      <c r="C3703" s="512">
        <v>2220101</v>
      </c>
      <c r="D3703" s="382" t="s">
        <v>225</v>
      </c>
      <c r="E3703" s="319">
        <v>482555</v>
      </c>
      <c r="F3703" s="597">
        <f t="shared" ref="F3703:G3703" si="2759">E3703*1.1</f>
        <v>530810.5</v>
      </c>
      <c r="G3703" s="597">
        <f t="shared" si="2759"/>
        <v>583891.55000000005</v>
      </c>
      <c r="H3703" s="132"/>
    </row>
    <row r="3704" spans="1:8" s="300" customFormat="1" outlineLevel="3">
      <c r="A3704" s="429"/>
      <c r="B3704" s="429"/>
      <c r="C3704" s="539">
        <v>2220200</v>
      </c>
      <c r="D3704" s="429" t="s">
        <v>179</v>
      </c>
      <c r="E3704" s="597">
        <f>SUM(E3705:E3707)</f>
        <v>672500</v>
      </c>
      <c r="F3704" s="597">
        <f t="shared" ref="F3704:G3704" si="2760">E3704*1.1</f>
        <v>739750.00000000012</v>
      </c>
      <c r="G3704" s="597">
        <f t="shared" si="2760"/>
        <v>813725.00000000023</v>
      </c>
      <c r="H3704" s="132"/>
    </row>
    <row r="3705" spans="1:8" s="289" customFormat="1" outlineLevel="3">
      <c r="A3705" s="382"/>
      <c r="B3705" s="382"/>
      <c r="C3705" s="512">
        <v>2220202</v>
      </c>
      <c r="D3705" s="382" t="s">
        <v>995</v>
      </c>
      <c r="E3705" s="319">
        <v>326100</v>
      </c>
      <c r="F3705" s="597">
        <f t="shared" ref="F3705:G3705" si="2761">E3705*1.1</f>
        <v>358710</v>
      </c>
      <c r="G3705" s="597">
        <f t="shared" si="2761"/>
        <v>394581.00000000006</v>
      </c>
      <c r="H3705" s="132"/>
    </row>
    <row r="3706" spans="1:8" s="289" customFormat="1" outlineLevel="3">
      <c r="A3706" s="382"/>
      <c r="B3706" s="382"/>
      <c r="C3706" s="512">
        <v>2220205</v>
      </c>
      <c r="D3706" s="382" t="s">
        <v>996</v>
      </c>
      <c r="E3706" s="319">
        <v>129000</v>
      </c>
      <c r="F3706" s="597">
        <f t="shared" ref="F3706:G3706" si="2762">E3706*1.1</f>
        <v>141900</v>
      </c>
      <c r="G3706" s="597">
        <f t="shared" si="2762"/>
        <v>156090</v>
      </c>
      <c r="H3706" s="132"/>
    </row>
    <row r="3707" spans="1:8" s="289" customFormat="1" outlineLevel="3">
      <c r="A3707" s="382"/>
      <c r="B3707" s="382"/>
      <c r="C3707" s="512">
        <v>2220210</v>
      </c>
      <c r="D3707" s="382" t="s">
        <v>997</v>
      </c>
      <c r="E3707" s="319">
        <v>217400</v>
      </c>
      <c r="F3707" s="597">
        <f t="shared" ref="F3707:G3707" si="2763">E3707*1.1</f>
        <v>239140.00000000003</v>
      </c>
      <c r="G3707" s="597">
        <f t="shared" si="2763"/>
        <v>263054.00000000006</v>
      </c>
      <c r="H3707" s="132"/>
    </row>
    <row r="3708" spans="1:8" s="300" customFormat="1" outlineLevel="3">
      <c r="A3708" s="429"/>
      <c r="B3708" s="429"/>
      <c r="C3708" s="539">
        <v>3110300</v>
      </c>
      <c r="D3708" s="429" t="s">
        <v>342</v>
      </c>
      <c r="E3708" s="597">
        <f>E3709</f>
        <v>1858000</v>
      </c>
      <c r="F3708" s="597">
        <f t="shared" ref="F3708:G3708" si="2764">E3708*1.1</f>
        <v>2043800.0000000002</v>
      </c>
      <c r="G3708" s="597">
        <f t="shared" si="2764"/>
        <v>2248180.0000000005</v>
      </c>
      <c r="H3708" s="132"/>
    </row>
    <row r="3709" spans="1:8" s="289" customFormat="1" outlineLevel="3">
      <c r="A3709" s="382"/>
      <c r="B3709" s="382"/>
      <c r="C3709" s="512">
        <v>3110302</v>
      </c>
      <c r="D3709" s="382" t="s">
        <v>295</v>
      </c>
      <c r="E3709" s="319">
        <v>1858000</v>
      </c>
      <c r="F3709" s="597">
        <f t="shared" ref="F3709:G3709" si="2765">E3709*1.1</f>
        <v>2043800.0000000002</v>
      </c>
      <c r="G3709" s="597">
        <f t="shared" si="2765"/>
        <v>2248180.0000000005</v>
      </c>
      <c r="H3709" s="132"/>
    </row>
    <row r="3710" spans="1:8" s="300" customFormat="1" outlineLevel="2">
      <c r="A3710" s="429"/>
      <c r="B3710" s="429"/>
      <c r="C3710" s="539"/>
      <c r="D3710" s="429" t="s">
        <v>998</v>
      </c>
      <c r="E3710" s="597">
        <f>E3708+E3704+E3702+E3700+E3698+E3694+E3692+E3690+E3686+E3683+E3679+E3677+E3674</f>
        <v>8222394</v>
      </c>
      <c r="F3710" s="597">
        <f t="shared" ref="F3710:G3710" si="2766">E3710*1.1</f>
        <v>9044633.4000000004</v>
      </c>
      <c r="G3710" s="597">
        <f t="shared" si="2766"/>
        <v>9949096.7400000021</v>
      </c>
      <c r="H3710" s="132"/>
    </row>
    <row r="3711" spans="1:8" s="289" customFormat="1" outlineLevel="2">
      <c r="A3711" s="382"/>
      <c r="B3711" s="382"/>
      <c r="C3711" s="512"/>
      <c r="D3711" s="382"/>
      <c r="E3711" s="319"/>
      <c r="F3711" s="597">
        <f t="shared" ref="F3711:G3711" si="2767">E3711*1.1</f>
        <v>0</v>
      </c>
      <c r="G3711" s="597">
        <f t="shared" si="2767"/>
        <v>0</v>
      </c>
      <c r="H3711" s="132"/>
    </row>
    <row r="3712" spans="1:8" s="300" customFormat="1" outlineLevel="2">
      <c r="A3712" s="429"/>
      <c r="B3712" s="429"/>
      <c r="C3712" s="539"/>
      <c r="D3712" s="429" t="s">
        <v>184</v>
      </c>
      <c r="E3712" s="597"/>
      <c r="F3712" s="597">
        <f t="shared" ref="F3712:G3712" si="2768">E3712*1.1</f>
        <v>0</v>
      </c>
      <c r="G3712" s="597">
        <f t="shared" si="2768"/>
        <v>0</v>
      </c>
      <c r="H3712" s="132"/>
    </row>
    <row r="3713" spans="1:8" s="300" customFormat="1" outlineLevel="3">
      <c r="A3713" s="429"/>
      <c r="B3713" s="429"/>
      <c r="C3713" s="539">
        <v>3110500</v>
      </c>
      <c r="D3713" s="429" t="s">
        <v>305</v>
      </c>
      <c r="E3713" s="597">
        <f>E3714+E3715+E3716</f>
        <v>4500000</v>
      </c>
      <c r="F3713" s="597">
        <f t="shared" ref="F3713:G3713" si="2769">E3713*1.1</f>
        <v>4950000</v>
      </c>
      <c r="G3713" s="597">
        <f t="shared" si="2769"/>
        <v>5445000</v>
      </c>
      <c r="H3713" s="132"/>
    </row>
    <row r="3714" spans="1:8" s="289" customFormat="1" outlineLevel="3">
      <c r="A3714" s="382"/>
      <c r="B3714" s="382"/>
      <c r="C3714" s="512">
        <v>3110504</v>
      </c>
      <c r="D3714" s="382" t="s">
        <v>999</v>
      </c>
      <c r="E3714" s="319">
        <f>1500000</f>
        <v>1500000</v>
      </c>
      <c r="F3714" s="597">
        <f t="shared" ref="F3714:G3714" si="2770">E3714*1.1</f>
        <v>1650000.0000000002</v>
      </c>
      <c r="G3714" s="597">
        <f t="shared" si="2770"/>
        <v>1815000.0000000005</v>
      </c>
      <c r="H3714" s="132"/>
    </row>
    <row r="3715" spans="1:8" s="289" customFormat="1" outlineLevel="3">
      <c r="A3715" s="382"/>
      <c r="B3715" s="382"/>
      <c r="C3715" s="512">
        <v>3110504</v>
      </c>
      <c r="D3715" s="382" t="s">
        <v>1000</v>
      </c>
      <c r="E3715" s="319">
        <v>1000000</v>
      </c>
      <c r="F3715" s="597">
        <f t="shared" ref="F3715:G3715" si="2771">E3715*1.1</f>
        <v>1100000</v>
      </c>
      <c r="G3715" s="597">
        <f t="shared" si="2771"/>
        <v>1210000</v>
      </c>
      <c r="H3715" s="132"/>
    </row>
    <row r="3716" spans="1:8" s="289" customFormat="1" outlineLevel="3">
      <c r="A3716" s="382"/>
      <c r="B3716" s="382"/>
      <c r="C3716" s="512">
        <v>3110504</v>
      </c>
      <c r="D3716" s="382" t="s">
        <v>1001</v>
      </c>
      <c r="E3716" s="319">
        <f>1500000+500000</f>
        <v>2000000</v>
      </c>
      <c r="F3716" s="597">
        <f t="shared" ref="F3716:G3716" si="2772">E3716*1.1</f>
        <v>2200000</v>
      </c>
      <c r="G3716" s="597">
        <f t="shared" si="2772"/>
        <v>2420000</v>
      </c>
      <c r="H3716" s="132"/>
    </row>
    <row r="3717" spans="1:8" s="300" customFormat="1" outlineLevel="2">
      <c r="A3717" s="429"/>
      <c r="B3717" s="429"/>
      <c r="C3717" s="539"/>
      <c r="D3717" s="429" t="s">
        <v>369</v>
      </c>
      <c r="E3717" s="597">
        <f>E3713</f>
        <v>4500000</v>
      </c>
      <c r="F3717" s="597">
        <f t="shared" ref="F3717:G3717" si="2773">E3717*1.1</f>
        <v>4950000</v>
      </c>
      <c r="G3717" s="597">
        <f t="shared" si="2773"/>
        <v>5445000</v>
      </c>
      <c r="H3717" s="132"/>
    </row>
    <row r="3718" spans="1:8" s="300" customFormat="1" outlineLevel="1">
      <c r="A3718" s="429"/>
      <c r="B3718" s="429"/>
      <c r="C3718" s="539"/>
      <c r="D3718" s="429" t="s">
        <v>80</v>
      </c>
      <c r="E3718" s="597">
        <f>E3717+E3710</f>
        <v>12722394</v>
      </c>
      <c r="F3718" s="597">
        <f t="shared" ref="F3718:G3718" si="2774">E3718*1.1</f>
        <v>13994633.4</v>
      </c>
      <c r="G3718" s="597">
        <f t="shared" si="2774"/>
        <v>15394096.740000002</v>
      </c>
      <c r="H3718" s="132"/>
    </row>
    <row r="3719" spans="1:8" s="300" customFormat="1" outlineLevel="1">
      <c r="A3719" s="429"/>
      <c r="B3719" s="429"/>
      <c r="C3719" s="539"/>
      <c r="D3719" s="429" t="s">
        <v>1002</v>
      </c>
      <c r="E3719" s="597">
        <f>E3710+E3651+E3591+E3549+E3526</f>
        <v>343900727</v>
      </c>
      <c r="F3719" s="597">
        <f t="shared" ref="F3719:G3719" si="2775">E3719*1.1</f>
        <v>378290799.70000005</v>
      </c>
      <c r="G3719" s="597">
        <f t="shared" si="2775"/>
        <v>416119879.67000008</v>
      </c>
      <c r="H3719" s="132"/>
    </row>
    <row r="3720" spans="1:8" s="300" customFormat="1" outlineLevel="1">
      <c r="A3720" s="429"/>
      <c r="B3720" s="429"/>
      <c r="C3720" s="539"/>
      <c r="D3720" s="429" t="s">
        <v>1003</v>
      </c>
      <c r="E3720" s="597">
        <f>E3717+E3668+E3598+E3557</f>
        <v>304693000</v>
      </c>
      <c r="F3720" s="597">
        <f t="shared" ref="F3720:G3720" si="2776">E3720*1.1</f>
        <v>335162300</v>
      </c>
      <c r="G3720" s="597">
        <f t="shared" si="2776"/>
        <v>368678530</v>
      </c>
      <c r="H3720" s="132"/>
    </row>
    <row r="3721" spans="1:8" s="300" customFormat="1" outlineLevel="1">
      <c r="A3721" s="429"/>
      <c r="B3721" s="429"/>
      <c r="C3721" s="539"/>
      <c r="D3721" s="429" t="s">
        <v>1004</v>
      </c>
      <c r="E3721" s="597">
        <f>E3719+E3720</f>
        <v>648593727</v>
      </c>
      <c r="F3721" s="597">
        <f t="shared" ref="F3721:G3721" si="2777">E3721*1.1</f>
        <v>713453099.70000005</v>
      </c>
      <c r="G3721" s="597">
        <f t="shared" si="2777"/>
        <v>784798409.67000008</v>
      </c>
      <c r="H3721" s="132"/>
    </row>
    <row r="3722" spans="1:8" s="289" customFormat="1" outlineLevel="1">
      <c r="A3722" s="382"/>
      <c r="B3722" s="382"/>
      <c r="C3722" s="512"/>
      <c r="D3722" s="382"/>
      <c r="E3722" s="319"/>
      <c r="F3722" s="597">
        <f t="shared" ref="F3722:G3722" si="2778">E3722*1.1</f>
        <v>0</v>
      </c>
      <c r="G3722" s="597">
        <f t="shared" si="2778"/>
        <v>0</v>
      </c>
      <c r="H3722" s="132"/>
    </row>
    <row r="3723" spans="1:8" s="289" customFormat="1" outlineLevel="1">
      <c r="A3723" s="382"/>
      <c r="B3723" s="382"/>
      <c r="C3723" s="512"/>
      <c r="D3723" s="382"/>
      <c r="E3723" s="319"/>
      <c r="F3723" s="597">
        <f t="shared" ref="F3723:G3723" si="2779">E3723*1.1</f>
        <v>0</v>
      </c>
      <c r="G3723" s="597">
        <f t="shared" si="2779"/>
        <v>0</v>
      </c>
      <c r="H3723" s="132"/>
    </row>
    <row r="3724" spans="1:8" s="300" customFormat="1" outlineLevel="1">
      <c r="A3724" s="429"/>
      <c r="B3724" s="429"/>
      <c r="C3724" s="539" t="s">
        <v>1005</v>
      </c>
      <c r="D3724" s="429"/>
      <c r="E3724" s="597"/>
      <c r="F3724" s="597">
        <f t="shared" ref="F3724:G3724" si="2780">E3724*1.1</f>
        <v>0</v>
      </c>
      <c r="G3724" s="597">
        <f t="shared" si="2780"/>
        <v>0</v>
      </c>
      <c r="H3724" s="132"/>
    </row>
    <row r="3725" spans="1:8" s="300" customFormat="1" outlineLevel="1">
      <c r="A3725" s="429"/>
      <c r="B3725" s="429"/>
      <c r="C3725" s="539" t="s">
        <v>314</v>
      </c>
      <c r="D3725" s="429"/>
      <c r="E3725" s="597"/>
      <c r="F3725" s="597">
        <f t="shared" ref="F3725:G3725" si="2781">E3725*1.1</f>
        <v>0</v>
      </c>
      <c r="G3725" s="597">
        <f t="shared" si="2781"/>
        <v>0</v>
      </c>
      <c r="H3725" s="132"/>
    </row>
    <row r="3726" spans="1:8" s="300" customFormat="1" outlineLevel="1">
      <c r="A3726" s="429"/>
      <c r="B3726" s="429"/>
      <c r="C3726" s="539" t="s">
        <v>315</v>
      </c>
      <c r="D3726" s="429"/>
      <c r="E3726" s="597"/>
      <c r="F3726" s="597">
        <f t="shared" ref="F3726:G3726" si="2782">E3726*1.1</f>
        <v>0</v>
      </c>
      <c r="G3726" s="597">
        <f t="shared" si="2782"/>
        <v>0</v>
      </c>
      <c r="H3726" s="132"/>
    </row>
    <row r="3727" spans="1:8" s="300" customFormat="1" outlineLevel="2">
      <c r="A3727" s="429"/>
      <c r="B3727" s="429"/>
      <c r="C3727" s="539">
        <v>2110100</v>
      </c>
      <c r="D3727" s="429" t="s">
        <v>13</v>
      </c>
      <c r="E3727" s="597">
        <f>E3728</f>
        <v>55151787</v>
      </c>
      <c r="F3727" s="597">
        <f t="shared" ref="F3727:G3727" si="2783">E3727*1.1</f>
        <v>60666965.700000003</v>
      </c>
      <c r="G3727" s="597">
        <f t="shared" si="2783"/>
        <v>66733662.270000011</v>
      </c>
      <c r="H3727" s="132"/>
    </row>
    <row r="3728" spans="1:8" s="289" customFormat="1" outlineLevel="2">
      <c r="A3728" s="382"/>
      <c r="B3728" s="382"/>
      <c r="C3728" s="512">
        <v>2110101</v>
      </c>
      <c r="D3728" s="382" t="s">
        <v>1006</v>
      </c>
      <c r="E3728" s="319">
        <v>55151787</v>
      </c>
      <c r="F3728" s="597">
        <f t="shared" ref="F3728:G3728" si="2784">E3728*1.1</f>
        <v>60666965.700000003</v>
      </c>
      <c r="G3728" s="597">
        <f t="shared" si="2784"/>
        <v>66733662.270000011</v>
      </c>
      <c r="H3728" s="132"/>
    </row>
    <row r="3729" spans="1:8" s="300" customFormat="1" outlineLevel="2">
      <c r="A3729" s="429"/>
      <c r="B3729" s="429"/>
      <c r="C3729" s="539">
        <v>2210100</v>
      </c>
      <c r="D3729" s="429" t="s">
        <v>16</v>
      </c>
      <c r="E3729" s="597">
        <f>SUM(E3730:E3731)</f>
        <v>130852</v>
      </c>
      <c r="F3729" s="597">
        <f t="shared" ref="F3729:G3729" si="2785">E3729*1.1</f>
        <v>143937.20000000001</v>
      </c>
      <c r="G3729" s="597">
        <f t="shared" si="2785"/>
        <v>158330.92000000001</v>
      </c>
      <c r="H3729" s="132"/>
    </row>
    <row r="3730" spans="1:8" s="289" customFormat="1" outlineLevel="2">
      <c r="A3730" s="382"/>
      <c r="B3730" s="382"/>
      <c r="C3730" s="512">
        <v>2210101</v>
      </c>
      <c r="D3730" s="382" t="s">
        <v>17</v>
      </c>
      <c r="E3730" s="319">
        <v>75752</v>
      </c>
      <c r="F3730" s="597">
        <f t="shared" ref="F3730:G3730" si="2786">E3730*1.1</f>
        <v>83327.200000000012</v>
      </c>
      <c r="G3730" s="597">
        <f t="shared" si="2786"/>
        <v>91659.920000000027</v>
      </c>
      <c r="H3730" s="132"/>
    </row>
    <row r="3731" spans="1:8" s="289" customFormat="1" outlineLevel="2">
      <c r="A3731" s="382"/>
      <c r="B3731" s="382"/>
      <c r="C3731" s="512">
        <v>2210102</v>
      </c>
      <c r="D3731" s="382" t="s">
        <v>18</v>
      </c>
      <c r="E3731" s="319">
        <v>55100</v>
      </c>
      <c r="F3731" s="597">
        <f t="shared" ref="F3731:G3731" si="2787">E3731*1.1</f>
        <v>60610.000000000007</v>
      </c>
      <c r="G3731" s="597">
        <f t="shared" si="2787"/>
        <v>66671.000000000015</v>
      </c>
      <c r="H3731" s="132"/>
    </row>
    <row r="3732" spans="1:8" s="300" customFormat="1" outlineLevel="2">
      <c r="A3732" s="429"/>
      <c r="B3732" s="429"/>
      <c r="C3732" s="539">
        <v>2210200</v>
      </c>
      <c r="D3732" s="429" t="s">
        <v>19</v>
      </c>
      <c r="E3732" s="597">
        <f>SUM(E3733:E3734)</f>
        <v>524397</v>
      </c>
      <c r="F3732" s="597">
        <f t="shared" ref="F3732:G3732" si="2788">E3732*1.1</f>
        <v>576836.70000000007</v>
      </c>
      <c r="G3732" s="597">
        <f t="shared" si="2788"/>
        <v>634520.37000000011</v>
      </c>
      <c r="H3732" s="132"/>
    </row>
    <row r="3733" spans="1:8" s="289" customFormat="1" outlineLevel="2">
      <c r="A3733" s="382"/>
      <c r="B3733" s="382"/>
      <c r="C3733" s="512">
        <v>2210201</v>
      </c>
      <c r="D3733" s="382" t="s">
        <v>20</v>
      </c>
      <c r="E3733" s="319">
        <v>502458</v>
      </c>
      <c r="F3733" s="597">
        <f t="shared" ref="F3733:G3733" si="2789">E3733*1.1</f>
        <v>552703.80000000005</v>
      </c>
      <c r="G3733" s="597">
        <f t="shared" si="2789"/>
        <v>607974.18000000005</v>
      </c>
      <c r="H3733" s="132"/>
    </row>
    <row r="3734" spans="1:8" s="289" customFormat="1" outlineLevel="2">
      <c r="A3734" s="382"/>
      <c r="B3734" s="382"/>
      <c r="C3734" s="512">
        <v>2210203</v>
      </c>
      <c r="D3734" s="382" t="s">
        <v>22</v>
      </c>
      <c r="E3734" s="319">
        <v>21939</v>
      </c>
      <c r="F3734" s="597">
        <f t="shared" ref="F3734:G3734" si="2790">E3734*1.1</f>
        <v>24132.9</v>
      </c>
      <c r="G3734" s="597">
        <f t="shared" si="2790"/>
        <v>26546.190000000002</v>
      </c>
      <c r="H3734" s="132"/>
    </row>
    <row r="3735" spans="1:8" s="300" customFormat="1" outlineLevel="2">
      <c r="A3735" s="429"/>
      <c r="B3735" s="429"/>
      <c r="C3735" s="539">
        <v>2210300</v>
      </c>
      <c r="D3735" s="429" t="s">
        <v>318</v>
      </c>
      <c r="E3735" s="597">
        <f>SUM(E3736:E3738)</f>
        <v>2173543</v>
      </c>
      <c r="F3735" s="597">
        <f t="shared" ref="F3735:G3735" si="2791">E3735*1.1</f>
        <v>2390897.3000000003</v>
      </c>
      <c r="G3735" s="597">
        <f t="shared" si="2791"/>
        <v>2629987.0300000007</v>
      </c>
      <c r="H3735" s="132"/>
    </row>
    <row r="3736" spans="1:8" s="289" customFormat="1" outlineLevel="2">
      <c r="A3736" s="382"/>
      <c r="B3736" s="382"/>
      <c r="C3736" s="512">
        <v>2210301</v>
      </c>
      <c r="D3736" s="382" t="s">
        <v>319</v>
      </c>
      <c r="E3736" s="319">
        <v>723985</v>
      </c>
      <c r="F3736" s="597">
        <f t="shared" ref="F3736:G3736" si="2792">E3736*1.1</f>
        <v>796383.50000000012</v>
      </c>
      <c r="G3736" s="597">
        <f t="shared" si="2792"/>
        <v>876021.85000000021</v>
      </c>
      <c r="H3736" s="132"/>
    </row>
    <row r="3737" spans="1:8" s="289" customFormat="1" outlineLevel="2">
      <c r="A3737" s="382"/>
      <c r="B3737" s="382"/>
      <c r="C3737" s="512">
        <v>2210302</v>
      </c>
      <c r="D3737" s="382" t="s">
        <v>320</v>
      </c>
      <c r="E3737" s="319">
        <v>648380</v>
      </c>
      <c r="F3737" s="597">
        <f t="shared" ref="F3737:G3737" si="2793">E3737*1.1</f>
        <v>713218</v>
      </c>
      <c r="G3737" s="597">
        <f t="shared" si="2793"/>
        <v>784539.8</v>
      </c>
      <c r="H3737" s="132"/>
    </row>
    <row r="3738" spans="1:8" s="289" customFormat="1" outlineLevel="2">
      <c r="A3738" s="382"/>
      <c r="B3738" s="382"/>
      <c r="C3738" s="512">
        <v>2210303</v>
      </c>
      <c r="D3738" s="382" t="s">
        <v>26</v>
      </c>
      <c r="E3738" s="319">
        <v>801178</v>
      </c>
      <c r="F3738" s="597">
        <f t="shared" ref="F3738:G3738" si="2794">E3738*1.1</f>
        <v>881295.8</v>
      </c>
      <c r="G3738" s="597">
        <f t="shared" si="2794"/>
        <v>969425.38000000012</v>
      </c>
      <c r="H3738" s="132"/>
    </row>
    <row r="3739" spans="1:8" s="300" customFormat="1" outlineLevel="2">
      <c r="A3739" s="429"/>
      <c r="B3739" s="429"/>
      <c r="C3739" s="539">
        <v>2210400</v>
      </c>
      <c r="D3739" s="429" t="s">
        <v>209</v>
      </c>
      <c r="E3739" s="597">
        <f>SUM(E3740:E3742)</f>
        <v>344375</v>
      </c>
      <c r="F3739" s="597">
        <f t="shared" ref="F3739:G3739" si="2795">E3739*1.1</f>
        <v>378812.50000000006</v>
      </c>
      <c r="G3739" s="597">
        <f t="shared" si="2795"/>
        <v>416693.75000000012</v>
      </c>
      <c r="H3739" s="132"/>
    </row>
    <row r="3740" spans="1:8" s="289" customFormat="1" outlineLevel="2">
      <c r="A3740" s="382"/>
      <c r="B3740" s="382"/>
      <c r="C3740" s="512">
        <v>2210401</v>
      </c>
      <c r="D3740" s="382" t="s">
        <v>210</v>
      </c>
      <c r="E3740" s="319">
        <v>120300</v>
      </c>
      <c r="F3740" s="597">
        <f t="shared" ref="F3740:G3740" si="2796">E3740*1.1</f>
        <v>132330</v>
      </c>
      <c r="G3740" s="597">
        <f t="shared" si="2796"/>
        <v>145563</v>
      </c>
      <c r="H3740" s="132"/>
    </row>
    <row r="3741" spans="1:8" s="289" customFormat="1" outlineLevel="2">
      <c r="A3741" s="382"/>
      <c r="B3741" s="382"/>
      <c r="C3741" s="512">
        <v>2210402</v>
      </c>
      <c r="D3741" s="382" t="s">
        <v>321</v>
      </c>
      <c r="E3741" s="319">
        <v>140600</v>
      </c>
      <c r="F3741" s="597">
        <f t="shared" ref="F3741:G3741" si="2797">E3741*1.1</f>
        <v>154660</v>
      </c>
      <c r="G3741" s="597">
        <f t="shared" si="2797"/>
        <v>170126</v>
      </c>
      <c r="H3741" s="132"/>
    </row>
    <row r="3742" spans="1:8" s="289" customFormat="1" outlineLevel="2">
      <c r="A3742" s="382"/>
      <c r="B3742" s="382"/>
      <c r="C3742" s="512">
        <v>2210403</v>
      </c>
      <c r="D3742" s="382" t="s">
        <v>27</v>
      </c>
      <c r="E3742" s="319">
        <v>83475</v>
      </c>
      <c r="F3742" s="597">
        <f t="shared" ref="F3742:G3742" si="2798">E3742*1.1</f>
        <v>91822.500000000015</v>
      </c>
      <c r="G3742" s="597">
        <f t="shared" si="2798"/>
        <v>101004.75000000003</v>
      </c>
      <c r="H3742" s="132"/>
    </row>
    <row r="3743" spans="1:8" s="300" customFormat="1" outlineLevel="2">
      <c r="A3743" s="429"/>
      <c r="B3743" s="429"/>
      <c r="C3743" s="539">
        <v>2210500</v>
      </c>
      <c r="D3743" s="429" t="s">
        <v>30</v>
      </c>
      <c r="E3743" s="597">
        <f>SUM(E3744:E3746)</f>
        <v>162239</v>
      </c>
      <c r="F3743" s="597">
        <f t="shared" ref="F3743:G3743" si="2799">E3743*1.1</f>
        <v>178462.90000000002</v>
      </c>
      <c r="G3743" s="597">
        <f t="shared" si="2799"/>
        <v>196309.19000000003</v>
      </c>
      <c r="H3743" s="132"/>
    </row>
    <row r="3744" spans="1:8" s="289" customFormat="1" outlineLevel="2">
      <c r="A3744" s="382"/>
      <c r="B3744" s="382"/>
      <c r="C3744" s="512">
        <v>2210502</v>
      </c>
      <c r="D3744" s="382" t="s">
        <v>162</v>
      </c>
      <c r="E3744" s="319">
        <v>62640</v>
      </c>
      <c r="F3744" s="597">
        <f t="shared" ref="F3744:G3744" si="2800">E3744*1.1</f>
        <v>68904</v>
      </c>
      <c r="G3744" s="597">
        <f t="shared" si="2800"/>
        <v>75794.400000000009</v>
      </c>
      <c r="H3744" s="132"/>
    </row>
    <row r="3745" spans="1:8" s="289" customFormat="1" outlineLevel="2">
      <c r="A3745" s="382"/>
      <c r="B3745" s="382"/>
      <c r="C3745" s="512">
        <v>2210503</v>
      </c>
      <c r="D3745" s="382" t="s">
        <v>31</v>
      </c>
      <c r="E3745" s="319">
        <v>17539</v>
      </c>
      <c r="F3745" s="597">
        <f t="shared" ref="F3745:G3745" si="2801">E3745*1.1</f>
        <v>19292.900000000001</v>
      </c>
      <c r="G3745" s="597">
        <f t="shared" si="2801"/>
        <v>21222.190000000002</v>
      </c>
      <c r="H3745" s="132"/>
    </row>
    <row r="3746" spans="1:8" s="289" customFormat="1" outlineLevel="2">
      <c r="A3746" s="382"/>
      <c r="B3746" s="382"/>
      <c r="C3746" s="512">
        <v>2210504</v>
      </c>
      <c r="D3746" s="382" t="s">
        <v>32</v>
      </c>
      <c r="E3746" s="319">
        <v>82060</v>
      </c>
      <c r="F3746" s="597">
        <f t="shared" ref="F3746:G3746" si="2802">E3746*1.1</f>
        <v>90266.000000000015</v>
      </c>
      <c r="G3746" s="597">
        <f t="shared" si="2802"/>
        <v>99292.60000000002</v>
      </c>
      <c r="H3746" s="132"/>
    </row>
    <row r="3747" spans="1:8" s="300" customFormat="1" outlineLevel="2">
      <c r="A3747" s="429"/>
      <c r="B3747" s="429"/>
      <c r="C3747" s="539">
        <v>2210700</v>
      </c>
      <c r="D3747" s="429" t="s">
        <v>322</v>
      </c>
      <c r="E3747" s="597">
        <f>SUM(E3748:E3751)</f>
        <v>2134360</v>
      </c>
      <c r="F3747" s="597">
        <f t="shared" ref="F3747:G3747" si="2803">E3747*1.1</f>
        <v>2347796</v>
      </c>
      <c r="G3747" s="597">
        <f t="shared" si="2803"/>
        <v>2582575.6</v>
      </c>
      <c r="H3747" s="132"/>
    </row>
    <row r="3748" spans="1:8" s="289" customFormat="1" outlineLevel="2">
      <c r="A3748" s="382"/>
      <c r="B3748" s="382"/>
      <c r="C3748" s="512">
        <v>2210701</v>
      </c>
      <c r="D3748" s="382" t="s">
        <v>323</v>
      </c>
      <c r="E3748" s="319">
        <v>918974</v>
      </c>
      <c r="F3748" s="597">
        <f t="shared" ref="F3748:G3748" si="2804">E3748*1.1</f>
        <v>1010871.4000000001</v>
      </c>
      <c r="G3748" s="597">
        <f t="shared" si="2804"/>
        <v>1111958.5400000003</v>
      </c>
      <c r="H3748" s="132"/>
    </row>
    <row r="3749" spans="1:8" s="289" customFormat="1" outlineLevel="2">
      <c r="A3749" s="382"/>
      <c r="B3749" s="382"/>
      <c r="C3749" s="512">
        <v>2210703</v>
      </c>
      <c r="D3749" s="382" t="s">
        <v>324</v>
      </c>
      <c r="E3749" s="319">
        <v>214975</v>
      </c>
      <c r="F3749" s="597">
        <f t="shared" ref="F3749:G3749" si="2805">E3749*1.1</f>
        <v>236472.50000000003</v>
      </c>
      <c r="G3749" s="597">
        <f t="shared" si="2805"/>
        <v>260119.75000000006</v>
      </c>
      <c r="H3749" s="132"/>
    </row>
    <row r="3750" spans="1:8" s="289" customFormat="1" outlineLevel="2">
      <c r="A3750" s="382"/>
      <c r="B3750" s="382"/>
      <c r="C3750" s="512">
        <v>2210704</v>
      </c>
      <c r="D3750" s="382" t="s">
        <v>325</v>
      </c>
      <c r="E3750" s="319">
        <v>127841</v>
      </c>
      <c r="F3750" s="597">
        <f t="shared" ref="F3750:G3750" si="2806">E3750*1.1</f>
        <v>140625.1</v>
      </c>
      <c r="G3750" s="597">
        <f t="shared" si="2806"/>
        <v>154687.61000000002</v>
      </c>
      <c r="H3750" s="132"/>
    </row>
    <row r="3751" spans="1:8" s="289" customFormat="1" outlineLevel="2">
      <c r="A3751" s="382"/>
      <c r="B3751" s="382"/>
      <c r="C3751" s="512">
        <v>2210710</v>
      </c>
      <c r="D3751" s="382" t="s">
        <v>38</v>
      </c>
      <c r="E3751" s="319">
        <v>872570</v>
      </c>
      <c r="F3751" s="597">
        <f t="shared" ref="F3751:G3751" si="2807">E3751*1.1</f>
        <v>959827.00000000012</v>
      </c>
      <c r="G3751" s="597">
        <f t="shared" si="2807"/>
        <v>1055809.7000000002</v>
      </c>
      <c r="H3751" s="132"/>
    </row>
    <row r="3752" spans="1:8" s="300" customFormat="1" outlineLevel="2">
      <c r="A3752" s="429"/>
      <c r="B3752" s="429"/>
      <c r="C3752" s="539">
        <v>2210800</v>
      </c>
      <c r="D3752" s="429" t="s">
        <v>41</v>
      </c>
      <c r="E3752" s="597">
        <f>SUM(E3753:E3754)</f>
        <v>461540</v>
      </c>
      <c r="F3752" s="597">
        <f t="shared" ref="F3752:G3752" si="2808">E3752*1.1</f>
        <v>507694.00000000006</v>
      </c>
      <c r="G3752" s="597">
        <f t="shared" si="2808"/>
        <v>558463.40000000014</v>
      </c>
      <c r="H3752" s="132"/>
    </row>
    <row r="3753" spans="1:8" s="289" customFormat="1" outlineLevel="2">
      <c r="A3753" s="382"/>
      <c r="B3753" s="382"/>
      <c r="C3753" s="512">
        <v>2210801</v>
      </c>
      <c r="D3753" s="382" t="s">
        <v>1007</v>
      </c>
      <c r="E3753" s="319">
        <f>512456-150000</f>
        <v>362456</v>
      </c>
      <c r="F3753" s="597">
        <f t="shared" ref="F3753:G3753" si="2809">E3753*1.1</f>
        <v>398701.60000000003</v>
      </c>
      <c r="G3753" s="597">
        <f t="shared" si="2809"/>
        <v>438571.76000000007</v>
      </c>
      <c r="H3753" s="132"/>
    </row>
    <row r="3754" spans="1:8" s="289" customFormat="1" outlineLevel="2">
      <c r="A3754" s="382"/>
      <c r="B3754" s="382"/>
      <c r="C3754" s="512">
        <v>2210802</v>
      </c>
      <c r="D3754" s="382" t="s">
        <v>86</v>
      </c>
      <c r="E3754" s="319">
        <f>149084-50000</f>
        <v>99084</v>
      </c>
      <c r="F3754" s="597">
        <f t="shared" ref="F3754:G3754" si="2810">E3754*1.1</f>
        <v>108992.40000000001</v>
      </c>
      <c r="G3754" s="597">
        <f t="shared" si="2810"/>
        <v>119891.64000000001</v>
      </c>
      <c r="H3754" s="132"/>
    </row>
    <row r="3755" spans="1:8" s="300" customFormat="1" outlineLevel="2">
      <c r="A3755" s="429"/>
      <c r="B3755" s="429"/>
      <c r="C3755" s="539">
        <v>2211100</v>
      </c>
      <c r="D3755" s="429" t="s">
        <v>327</v>
      </c>
      <c r="E3755" s="597">
        <f>SUM(E3756:E3758)</f>
        <v>548441</v>
      </c>
      <c r="F3755" s="597">
        <f t="shared" ref="F3755:G3755" si="2811">E3755*1.1</f>
        <v>603285.10000000009</v>
      </c>
      <c r="G3755" s="597">
        <f t="shared" si="2811"/>
        <v>663613.6100000001</v>
      </c>
      <c r="H3755" s="132"/>
    </row>
    <row r="3756" spans="1:8" s="289" customFormat="1" outlineLevel="2">
      <c r="A3756" s="382"/>
      <c r="B3756" s="382"/>
      <c r="C3756" s="512">
        <v>2211101</v>
      </c>
      <c r="D3756" s="382" t="s">
        <v>328</v>
      </c>
      <c r="E3756" s="319">
        <f>316651-100000</f>
        <v>216651</v>
      </c>
      <c r="F3756" s="597">
        <f t="shared" ref="F3756:G3756" si="2812">E3756*1.1</f>
        <v>238316.1</v>
      </c>
      <c r="G3756" s="597">
        <f t="shared" si="2812"/>
        <v>262147.71000000002</v>
      </c>
      <c r="H3756" s="132"/>
    </row>
    <row r="3757" spans="1:8" s="289" customFormat="1" outlineLevel="2">
      <c r="A3757" s="382"/>
      <c r="B3757" s="382"/>
      <c r="C3757" s="512">
        <v>2211102</v>
      </c>
      <c r="D3757" s="382" t="s">
        <v>51</v>
      </c>
      <c r="E3757" s="319">
        <f>273705-100000</f>
        <v>173705</v>
      </c>
      <c r="F3757" s="597">
        <f t="shared" ref="F3757:G3757" si="2813">E3757*1.1</f>
        <v>191075.50000000003</v>
      </c>
      <c r="G3757" s="597">
        <f t="shared" si="2813"/>
        <v>210183.05000000005</v>
      </c>
      <c r="H3757" s="132"/>
    </row>
    <row r="3758" spans="1:8" s="289" customFormat="1" outlineLevel="2">
      <c r="A3758" s="382"/>
      <c r="B3758" s="382"/>
      <c r="C3758" s="512">
        <v>2211103</v>
      </c>
      <c r="D3758" s="382" t="s">
        <v>52</v>
      </c>
      <c r="E3758" s="319">
        <f>258085-100000</f>
        <v>158085</v>
      </c>
      <c r="F3758" s="597">
        <f t="shared" ref="F3758:G3758" si="2814">E3758*1.1</f>
        <v>173893.5</v>
      </c>
      <c r="G3758" s="597">
        <f t="shared" si="2814"/>
        <v>191282.85</v>
      </c>
      <c r="H3758" s="132"/>
    </row>
    <row r="3759" spans="1:8" s="300" customFormat="1" outlineLevel="2">
      <c r="A3759" s="429"/>
      <c r="B3759" s="429"/>
      <c r="C3759" s="539">
        <v>2211200</v>
      </c>
      <c r="D3759" s="429" t="s">
        <v>53</v>
      </c>
      <c r="E3759" s="597">
        <f>E3760</f>
        <v>1596340</v>
      </c>
      <c r="F3759" s="597">
        <f t="shared" ref="F3759:G3759" si="2815">E3759*1.1</f>
        <v>1755974.0000000002</v>
      </c>
      <c r="G3759" s="597">
        <f t="shared" si="2815"/>
        <v>1931571.4000000004</v>
      </c>
      <c r="H3759" s="132"/>
    </row>
    <row r="3760" spans="1:8" s="289" customFormat="1" outlineLevel="2">
      <c r="A3760" s="382"/>
      <c r="B3760" s="382"/>
      <c r="C3760" s="512">
        <v>2211201</v>
      </c>
      <c r="D3760" s="382" t="s">
        <v>91</v>
      </c>
      <c r="E3760" s="319">
        <v>1596340</v>
      </c>
      <c r="F3760" s="597">
        <f t="shared" ref="F3760:G3760" si="2816">E3760*1.1</f>
        <v>1755974.0000000002</v>
      </c>
      <c r="G3760" s="597">
        <f t="shared" si="2816"/>
        <v>1931571.4000000004</v>
      </c>
      <c r="H3760" s="132"/>
    </row>
    <row r="3761" spans="1:8" s="300" customFormat="1" outlineLevel="2">
      <c r="A3761" s="429"/>
      <c r="B3761" s="429"/>
      <c r="C3761" s="539">
        <v>2220100</v>
      </c>
      <c r="D3761" s="429" t="s">
        <v>225</v>
      </c>
      <c r="E3761" s="597">
        <f>E3762</f>
        <v>754471</v>
      </c>
      <c r="F3761" s="597">
        <f t="shared" ref="F3761:G3761" si="2817">E3761*1.1</f>
        <v>829918.10000000009</v>
      </c>
      <c r="G3761" s="597">
        <f t="shared" si="2817"/>
        <v>912909.91000000015</v>
      </c>
      <c r="H3761" s="132"/>
    </row>
    <row r="3762" spans="1:8" s="289" customFormat="1" outlineLevel="2">
      <c r="A3762" s="382"/>
      <c r="B3762" s="382"/>
      <c r="C3762" s="512">
        <v>2220101</v>
      </c>
      <c r="D3762" s="382" t="s">
        <v>225</v>
      </c>
      <c r="E3762" s="319">
        <f>1754471-1000000</f>
        <v>754471</v>
      </c>
      <c r="F3762" s="597">
        <f t="shared" ref="F3762:G3762" si="2818">E3762*1.1</f>
        <v>829918.10000000009</v>
      </c>
      <c r="G3762" s="597">
        <f t="shared" si="2818"/>
        <v>912909.91000000015</v>
      </c>
      <c r="H3762" s="132"/>
    </row>
    <row r="3763" spans="1:8" s="300" customFormat="1" outlineLevel="2">
      <c r="A3763" s="429"/>
      <c r="B3763" s="429"/>
      <c r="C3763" s="539">
        <v>2220200</v>
      </c>
      <c r="D3763" s="429" t="s">
        <v>179</v>
      </c>
      <c r="E3763" s="597">
        <f>E3764</f>
        <v>116845</v>
      </c>
      <c r="F3763" s="597">
        <f t="shared" ref="F3763:G3763" si="2819">E3763*1.1</f>
        <v>128529.50000000001</v>
      </c>
      <c r="G3763" s="597">
        <f t="shared" si="2819"/>
        <v>141382.45000000004</v>
      </c>
      <c r="H3763" s="132"/>
    </row>
    <row r="3764" spans="1:8" s="289" customFormat="1" outlineLevel="2">
      <c r="A3764" s="382"/>
      <c r="B3764" s="382"/>
      <c r="C3764" s="512">
        <v>2220210</v>
      </c>
      <c r="D3764" s="382" t="s">
        <v>181</v>
      </c>
      <c r="E3764" s="319">
        <v>116845</v>
      </c>
      <c r="F3764" s="597">
        <f t="shared" ref="F3764:G3764" si="2820">E3764*1.1</f>
        <v>128529.50000000001</v>
      </c>
      <c r="G3764" s="597">
        <f t="shared" si="2820"/>
        <v>141382.45000000004</v>
      </c>
      <c r="H3764" s="132"/>
    </row>
    <row r="3765" spans="1:8" s="300" customFormat="1" outlineLevel="2">
      <c r="A3765" s="429"/>
      <c r="B3765" s="429"/>
      <c r="C3765" s="539">
        <v>3111000</v>
      </c>
      <c r="D3765" s="429" t="s">
        <v>65</v>
      </c>
      <c r="E3765" s="597">
        <f>SUM(E3766:E3767)</f>
        <v>2273802</v>
      </c>
      <c r="F3765" s="597">
        <f t="shared" ref="F3765:G3765" si="2821">E3765*1.1</f>
        <v>2501182.2000000002</v>
      </c>
      <c r="G3765" s="597">
        <f t="shared" si="2821"/>
        <v>2751300.4200000004</v>
      </c>
      <c r="H3765" s="132"/>
    </row>
    <row r="3766" spans="1:8" s="289" customFormat="1" outlineLevel="2">
      <c r="A3766" s="382"/>
      <c r="B3766" s="382"/>
      <c r="C3766" s="512">
        <v>3111001</v>
      </c>
      <c r="D3766" s="382" t="s">
        <v>66</v>
      </c>
      <c r="E3766" s="319">
        <v>1025123</v>
      </c>
      <c r="F3766" s="597">
        <f t="shared" ref="F3766:G3766" si="2822">E3766*1.1</f>
        <v>1127635.3</v>
      </c>
      <c r="G3766" s="597">
        <f t="shared" si="2822"/>
        <v>1240398.83</v>
      </c>
      <c r="H3766" s="132"/>
    </row>
    <row r="3767" spans="1:8" s="289" customFormat="1" outlineLevel="2">
      <c r="A3767" s="382"/>
      <c r="B3767" s="382"/>
      <c r="C3767" s="512">
        <v>3111002</v>
      </c>
      <c r="D3767" s="382" t="s">
        <v>67</v>
      </c>
      <c r="E3767" s="319">
        <f>748679+500000</f>
        <v>1248679</v>
      </c>
      <c r="F3767" s="597">
        <f t="shared" ref="F3767:G3767" si="2823">E3767*1.1</f>
        <v>1373546.9000000001</v>
      </c>
      <c r="G3767" s="597">
        <f t="shared" si="2823"/>
        <v>1510901.5900000003</v>
      </c>
      <c r="H3767" s="132"/>
    </row>
    <row r="3768" spans="1:8" s="300" customFormat="1" outlineLevel="1">
      <c r="A3768" s="429"/>
      <c r="B3768" s="429"/>
      <c r="C3768" s="539"/>
      <c r="D3768" s="429" t="s">
        <v>329</v>
      </c>
      <c r="E3768" s="597">
        <f>E3765+E3763+E3761+E3759+E3755+E3752+E3747+E3743+E3739+E3735+E3732+E3729+E3727</f>
        <v>66372992</v>
      </c>
      <c r="F3768" s="597">
        <f t="shared" ref="F3768:G3768" si="2824">E3768*1.1</f>
        <v>73010291.200000003</v>
      </c>
      <c r="G3768" s="597">
        <f t="shared" si="2824"/>
        <v>80311320.320000008</v>
      </c>
      <c r="H3768" s="132"/>
    </row>
    <row r="3769" spans="1:8" s="300" customFormat="1" outlineLevel="1">
      <c r="A3769" s="429"/>
      <c r="B3769" s="429"/>
      <c r="C3769" s="539"/>
      <c r="D3769" s="429"/>
      <c r="E3769" s="597"/>
      <c r="F3769" s="597">
        <f t="shared" ref="F3769:G3769" si="2825">E3769*1.1</f>
        <v>0</v>
      </c>
      <c r="G3769" s="597">
        <f t="shared" si="2825"/>
        <v>0</v>
      </c>
      <c r="H3769" s="132"/>
    </row>
    <row r="3770" spans="1:8" s="300" customFormat="1" outlineLevel="1">
      <c r="A3770" s="429"/>
      <c r="B3770" s="429"/>
      <c r="C3770" s="539" t="s">
        <v>1008</v>
      </c>
      <c r="D3770" s="429"/>
      <c r="E3770" s="597"/>
      <c r="F3770" s="597">
        <f t="shared" ref="F3770:G3770" si="2826">E3770*1.1</f>
        <v>0</v>
      </c>
      <c r="G3770" s="597">
        <f t="shared" si="2826"/>
        <v>0</v>
      </c>
      <c r="H3770" s="132"/>
    </row>
    <row r="3771" spans="1:8" s="300" customFormat="1" outlineLevel="1">
      <c r="A3771" s="429"/>
      <c r="B3771" s="429"/>
      <c r="C3771" s="539" t="s">
        <v>1009</v>
      </c>
      <c r="D3771" s="429"/>
      <c r="E3771" s="597"/>
      <c r="F3771" s="597">
        <f t="shared" ref="F3771:G3771" si="2827">E3771*1.1</f>
        <v>0</v>
      </c>
      <c r="G3771" s="597">
        <f t="shared" si="2827"/>
        <v>0</v>
      </c>
      <c r="H3771" s="132"/>
    </row>
    <row r="3772" spans="1:8" s="300" customFormat="1" outlineLevel="1">
      <c r="A3772" s="429"/>
      <c r="B3772" s="429"/>
      <c r="C3772" s="539" t="s">
        <v>1010</v>
      </c>
      <c r="D3772" s="429"/>
      <c r="E3772" s="597"/>
      <c r="F3772" s="597">
        <f t="shared" ref="F3772:G3772" si="2828">E3772*1.1</f>
        <v>0</v>
      </c>
      <c r="G3772" s="597">
        <f t="shared" si="2828"/>
        <v>0</v>
      </c>
      <c r="H3772" s="132"/>
    </row>
    <row r="3773" spans="1:8" s="300" customFormat="1" outlineLevel="3">
      <c r="A3773" s="429"/>
      <c r="B3773" s="429"/>
      <c r="C3773" s="539">
        <v>2210100</v>
      </c>
      <c r="D3773" s="429" t="s">
        <v>16</v>
      </c>
      <c r="E3773" s="597">
        <f>SUM(E3774:E3775)</f>
        <v>183140</v>
      </c>
      <c r="F3773" s="597">
        <f t="shared" ref="F3773:G3773" si="2829">E3773*1.1</f>
        <v>201454.00000000003</v>
      </c>
      <c r="G3773" s="597">
        <f t="shared" si="2829"/>
        <v>221599.40000000005</v>
      </c>
      <c r="H3773" s="132"/>
    </row>
    <row r="3774" spans="1:8" s="289" customFormat="1" outlineLevel="3">
      <c r="A3774" s="382"/>
      <c r="B3774" s="382"/>
      <c r="C3774" s="512">
        <v>2210101</v>
      </c>
      <c r="D3774" s="382" t="s">
        <v>985</v>
      </c>
      <c r="E3774" s="319">
        <v>99463</v>
      </c>
      <c r="F3774" s="597">
        <f t="shared" ref="F3774:G3774" si="2830">E3774*1.1</f>
        <v>109409.3</v>
      </c>
      <c r="G3774" s="597">
        <f t="shared" si="2830"/>
        <v>120350.23000000001</v>
      </c>
      <c r="H3774" s="132"/>
    </row>
    <row r="3775" spans="1:8" s="289" customFormat="1" outlineLevel="3">
      <c r="A3775" s="382"/>
      <c r="B3775" s="382"/>
      <c r="C3775" s="512">
        <v>2210102</v>
      </c>
      <c r="D3775" s="382" t="s">
        <v>986</v>
      </c>
      <c r="E3775" s="319">
        <v>83677</v>
      </c>
      <c r="F3775" s="597">
        <f t="shared" ref="F3775:G3775" si="2831">E3775*1.1</f>
        <v>92044.700000000012</v>
      </c>
      <c r="G3775" s="597">
        <f t="shared" si="2831"/>
        <v>101249.17000000003</v>
      </c>
      <c r="H3775" s="132"/>
    </row>
    <row r="3776" spans="1:8" s="300" customFormat="1" outlineLevel="3">
      <c r="A3776" s="429"/>
      <c r="B3776" s="429"/>
      <c r="C3776" s="539">
        <v>2210200</v>
      </c>
      <c r="D3776" s="429" t="s">
        <v>19</v>
      </c>
      <c r="E3776" s="597">
        <f>SUM(E3777:E3778)</f>
        <v>592389</v>
      </c>
      <c r="F3776" s="597">
        <f t="shared" ref="F3776:G3776" si="2832">E3776*1.1</f>
        <v>651627.9</v>
      </c>
      <c r="G3776" s="597">
        <f t="shared" si="2832"/>
        <v>716790.69000000006</v>
      </c>
      <c r="H3776" s="132"/>
    </row>
    <row r="3777" spans="1:8" s="289" customFormat="1" outlineLevel="3">
      <c r="A3777" s="382"/>
      <c r="B3777" s="382"/>
      <c r="C3777" s="512">
        <v>2210201</v>
      </c>
      <c r="D3777" s="382" t="s">
        <v>987</v>
      </c>
      <c r="E3777" s="319">
        <v>490389</v>
      </c>
      <c r="F3777" s="597">
        <f t="shared" ref="F3777:G3777" si="2833">E3777*1.1</f>
        <v>539427.9</v>
      </c>
      <c r="G3777" s="597">
        <f t="shared" si="2833"/>
        <v>593370.69000000006</v>
      </c>
      <c r="H3777" s="132"/>
    </row>
    <row r="3778" spans="1:8" s="289" customFormat="1" outlineLevel="3">
      <c r="A3778" s="382"/>
      <c r="B3778" s="382"/>
      <c r="C3778" s="512">
        <v>2210202</v>
      </c>
      <c r="D3778" s="382" t="s">
        <v>1011</v>
      </c>
      <c r="E3778" s="319">
        <v>102000</v>
      </c>
      <c r="F3778" s="597">
        <f t="shared" ref="F3778:G3778" si="2834">E3778*1.1</f>
        <v>112200.00000000001</v>
      </c>
      <c r="G3778" s="597">
        <f t="shared" si="2834"/>
        <v>123420.00000000003</v>
      </c>
      <c r="H3778" s="132"/>
    </row>
    <row r="3779" spans="1:8" s="300" customFormat="1" outlineLevel="3">
      <c r="A3779" s="429"/>
      <c r="B3779" s="429"/>
      <c r="C3779" s="539">
        <v>2210300</v>
      </c>
      <c r="D3779" s="429" t="s">
        <v>318</v>
      </c>
      <c r="E3779" s="597">
        <f>SUM(E3780:E3782)</f>
        <v>2002107</v>
      </c>
      <c r="F3779" s="597">
        <f t="shared" ref="F3779:G3779" si="2835">E3779*1.1</f>
        <v>2202317.7000000002</v>
      </c>
      <c r="G3779" s="597">
        <f t="shared" si="2835"/>
        <v>2422549.4700000002</v>
      </c>
      <c r="H3779" s="132"/>
    </row>
    <row r="3780" spans="1:8" s="289" customFormat="1" outlineLevel="3">
      <c r="A3780" s="382"/>
      <c r="B3780" s="382"/>
      <c r="C3780" s="512">
        <v>2210301</v>
      </c>
      <c r="D3780" s="382" t="s">
        <v>24</v>
      </c>
      <c r="E3780" s="319">
        <v>390936</v>
      </c>
      <c r="F3780" s="597">
        <f t="shared" ref="F3780:G3780" si="2836">E3780*1.1</f>
        <v>430029.60000000003</v>
      </c>
      <c r="G3780" s="597">
        <f t="shared" si="2836"/>
        <v>473032.56000000006</v>
      </c>
      <c r="H3780" s="132"/>
    </row>
    <row r="3781" spans="1:8" s="289" customFormat="1" outlineLevel="3">
      <c r="A3781" s="382"/>
      <c r="B3781" s="382"/>
      <c r="C3781" s="512">
        <v>2210302</v>
      </c>
      <c r="D3781" s="382" t="s">
        <v>988</v>
      </c>
      <c r="E3781" s="319">
        <v>776180</v>
      </c>
      <c r="F3781" s="597">
        <f t="shared" ref="F3781:G3781" si="2837">E3781*1.1</f>
        <v>853798.00000000012</v>
      </c>
      <c r="G3781" s="597">
        <f t="shared" si="2837"/>
        <v>939177.80000000016</v>
      </c>
      <c r="H3781" s="132"/>
    </row>
    <row r="3782" spans="1:8" s="289" customFormat="1" outlineLevel="3">
      <c r="A3782" s="382"/>
      <c r="B3782" s="382"/>
      <c r="C3782" s="512">
        <v>2210303</v>
      </c>
      <c r="D3782" s="382" t="s">
        <v>26</v>
      </c>
      <c r="E3782" s="319">
        <v>834991</v>
      </c>
      <c r="F3782" s="597">
        <f t="shared" ref="F3782:G3782" si="2838">E3782*1.1</f>
        <v>918490.10000000009</v>
      </c>
      <c r="G3782" s="597">
        <f t="shared" si="2838"/>
        <v>1010339.1100000002</v>
      </c>
      <c r="H3782" s="132"/>
    </row>
    <row r="3783" spans="1:8" s="300" customFormat="1" outlineLevel="3">
      <c r="A3783" s="429"/>
      <c r="B3783" s="429"/>
      <c r="C3783" s="539">
        <v>2210500</v>
      </c>
      <c r="D3783" s="429" t="s">
        <v>30</v>
      </c>
      <c r="E3783" s="597">
        <f>E3784</f>
        <v>181088</v>
      </c>
      <c r="F3783" s="597">
        <f t="shared" ref="F3783:G3783" si="2839">E3783*1.1</f>
        <v>199196.80000000002</v>
      </c>
      <c r="G3783" s="597">
        <f t="shared" si="2839"/>
        <v>219116.48000000004</v>
      </c>
      <c r="H3783" s="132"/>
    </row>
    <row r="3784" spans="1:8" s="289" customFormat="1" outlineLevel="3">
      <c r="A3784" s="382"/>
      <c r="B3784" s="382"/>
      <c r="C3784" s="512">
        <v>2210504</v>
      </c>
      <c r="D3784" s="382" t="s">
        <v>32</v>
      </c>
      <c r="E3784" s="319">
        <f>331088-150000</f>
        <v>181088</v>
      </c>
      <c r="F3784" s="597">
        <f t="shared" ref="F3784:G3784" si="2840">E3784*1.1</f>
        <v>199196.80000000002</v>
      </c>
      <c r="G3784" s="597">
        <f t="shared" si="2840"/>
        <v>219116.48000000004</v>
      </c>
      <c r="H3784" s="132"/>
    </row>
    <row r="3785" spans="1:8" s="300" customFormat="1" outlineLevel="3">
      <c r="A3785" s="429"/>
      <c r="B3785" s="429"/>
      <c r="C3785" s="539">
        <v>2210700</v>
      </c>
      <c r="D3785" s="429" t="s">
        <v>165</v>
      </c>
      <c r="E3785" s="597">
        <f>SUM(E3786:E3788)</f>
        <v>1689060</v>
      </c>
      <c r="F3785" s="597">
        <f t="shared" ref="F3785:G3785" si="2841">E3785*1.1</f>
        <v>1857966.0000000002</v>
      </c>
      <c r="G3785" s="597">
        <f t="shared" si="2841"/>
        <v>2043762.6000000003</v>
      </c>
      <c r="H3785" s="132"/>
    </row>
    <row r="3786" spans="1:8" s="289" customFormat="1" outlineLevel="3">
      <c r="A3786" s="382"/>
      <c r="B3786" s="382"/>
      <c r="C3786" s="512">
        <v>2210701</v>
      </c>
      <c r="D3786" s="382" t="s">
        <v>338</v>
      </c>
      <c r="E3786" s="319">
        <v>798560</v>
      </c>
      <c r="F3786" s="597">
        <f t="shared" ref="F3786:G3786" si="2842">E3786*1.1</f>
        <v>878416.00000000012</v>
      </c>
      <c r="G3786" s="597">
        <f t="shared" si="2842"/>
        <v>966257.60000000021</v>
      </c>
      <c r="H3786" s="132"/>
    </row>
    <row r="3787" spans="1:8" s="289" customFormat="1" outlineLevel="3">
      <c r="A3787" s="382"/>
      <c r="B3787" s="382"/>
      <c r="C3787" s="512">
        <v>2210704</v>
      </c>
      <c r="D3787" s="382" t="s">
        <v>991</v>
      </c>
      <c r="E3787" s="319">
        <v>36020</v>
      </c>
      <c r="F3787" s="597">
        <f t="shared" ref="F3787:G3787" si="2843">E3787*1.1</f>
        <v>39622</v>
      </c>
      <c r="G3787" s="597">
        <f t="shared" si="2843"/>
        <v>43584.200000000004</v>
      </c>
      <c r="H3787" s="132"/>
    </row>
    <row r="3788" spans="1:8" s="289" customFormat="1" outlineLevel="3">
      <c r="A3788" s="382"/>
      <c r="B3788" s="382"/>
      <c r="C3788" s="512">
        <v>2210710</v>
      </c>
      <c r="D3788" s="382" t="s">
        <v>339</v>
      </c>
      <c r="E3788" s="319">
        <v>854480</v>
      </c>
      <c r="F3788" s="597">
        <f t="shared" ref="F3788:G3788" si="2844">E3788*1.1</f>
        <v>939928.00000000012</v>
      </c>
      <c r="G3788" s="597">
        <f t="shared" si="2844"/>
        <v>1033920.8000000002</v>
      </c>
      <c r="H3788" s="132"/>
    </row>
    <row r="3789" spans="1:8" s="300" customFormat="1" outlineLevel="3">
      <c r="A3789" s="429"/>
      <c r="B3789" s="429"/>
      <c r="C3789" s="539">
        <v>2210800</v>
      </c>
      <c r="D3789" s="429" t="s">
        <v>41</v>
      </c>
      <c r="E3789" s="597">
        <f>E3790</f>
        <v>162384</v>
      </c>
      <c r="F3789" s="597">
        <f t="shared" ref="F3789:G3789" si="2845">E3789*1.1</f>
        <v>178622.40000000002</v>
      </c>
      <c r="G3789" s="597">
        <f t="shared" si="2845"/>
        <v>196484.64000000004</v>
      </c>
      <c r="H3789" s="132"/>
    </row>
    <row r="3790" spans="1:8" s="289" customFormat="1" outlineLevel="3">
      <c r="A3790" s="382"/>
      <c r="B3790" s="382"/>
      <c r="C3790" s="512">
        <v>2210801</v>
      </c>
      <c r="D3790" s="382" t="s">
        <v>1007</v>
      </c>
      <c r="E3790" s="319">
        <f>62384+100000</f>
        <v>162384</v>
      </c>
      <c r="F3790" s="597">
        <f t="shared" ref="F3790:G3790" si="2846">E3790*1.1</f>
        <v>178622.40000000002</v>
      </c>
      <c r="G3790" s="597">
        <f t="shared" si="2846"/>
        <v>196484.64000000004</v>
      </c>
      <c r="H3790" s="132"/>
    </row>
    <row r="3791" spans="1:8" s="300" customFormat="1" outlineLevel="3">
      <c r="A3791" s="429"/>
      <c r="B3791" s="429"/>
      <c r="C3791" s="539">
        <v>2211000</v>
      </c>
      <c r="D3791" s="429" t="s">
        <v>173</v>
      </c>
      <c r="E3791" s="597">
        <f>E3792</f>
        <v>404160</v>
      </c>
      <c r="F3791" s="597">
        <f t="shared" ref="F3791:G3791" si="2847">E3791*1.1</f>
        <v>444576.00000000006</v>
      </c>
      <c r="G3791" s="597">
        <f t="shared" si="2847"/>
        <v>489033.60000000009</v>
      </c>
      <c r="H3791" s="132"/>
    </row>
    <row r="3792" spans="1:8" s="289" customFormat="1" outlineLevel="3">
      <c r="A3792" s="382"/>
      <c r="B3792" s="382"/>
      <c r="C3792" s="512">
        <v>2211023</v>
      </c>
      <c r="D3792" s="382" t="s">
        <v>1012</v>
      </c>
      <c r="E3792" s="319">
        <f>504160-100000</f>
        <v>404160</v>
      </c>
      <c r="F3792" s="597">
        <f t="shared" ref="F3792:G3792" si="2848">E3792*1.1</f>
        <v>444576.00000000006</v>
      </c>
      <c r="G3792" s="597">
        <f t="shared" si="2848"/>
        <v>489033.60000000009</v>
      </c>
      <c r="H3792" s="132"/>
    </row>
    <row r="3793" spans="1:8" s="300" customFormat="1" outlineLevel="3">
      <c r="A3793" s="429"/>
      <c r="B3793" s="429"/>
      <c r="C3793" s="539">
        <v>2211100</v>
      </c>
      <c r="D3793" s="429" t="s">
        <v>49</v>
      </c>
      <c r="E3793" s="597">
        <f>SUM(E3794:E3796)</f>
        <v>172774</v>
      </c>
      <c r="F3793" s="597">
        <f t="shared" ref="F3793:G3793" si="2849">E3793*1.1</f>
        <v>190051.40000000002</v>
      </c>
      <c r="G3793" s="597">
        <f t="shared" si="2849"/>
        <v>209056.54000000004</v>
      </c>
      <c r="H3793" s="132"/>
    </row>
    <row r="3794" spans="1:8" s="289" customFormat="1" outlineLevel="3">
      <c r="A3794" s="382"/>
      <c r="B3794" s="382"/>
      <c r="C3794" s="512">
        <v>2211101</v>
      </c>
      <c r="D3794" s="382" t="s">
        <v>993</v>
      </c>
      <c r="E3794" s="319">
        <v>77369</v>
      </c>
      <c r="F3794" s="597">
        <f t="shared" ref="F3794:G3794" si="2850">E3794*1.1</f>
        <v>85105.900000000009</v>
      </c>
      <c r="G3794" s="597">
        <f t="shared" si="2850"/>
        <v>93616.49000000002</v>
      </c>
      <c r="H3794" s="132"/>
    </row>
    <row r="3795" spans="1:8" s="289" customFormat="1" outlineLevel="3">
      <c r="A3795" s="382"/>
      <c r="B3795" s="382"/>
      <c r="C3795" s="512">
        <v>2211102</v>
      </c>
      <c r="D3795" s="382" t="s">
        <v>994</v>
      </c>
      <c r="E3795" s="319">
        <v>73080</v>
      </c>
      <c r="F3795" s="597">
        <f t="shared" ref="F3795:G3795" si="2851">E3795*1.1</f>
        <v>80388</v>
      </c>
      <c r="G3795" s="597">
        <f t="shared" si="2851"/>
        <v>88426.8</v>
      </c>
      <c r="H3795" s="132"/>
    </row>
    <row r="3796" spans="1:8" s="289" customFormat="1" outlineLevel="3">
      <c r="A3796" s="382"/>
      <c r="B3796" s="382"/>
      <c r="C3796" s="512">
        <v>2211103</v>
      </c>
      <c r="D3796" s="382" t="s">
        <v>52</v>
      </c>
      <c r="E3796" s="319">
        <v>22325</v>
      </c>
      <c r="F3796" s="597">
        <f t="shared" ref="F3796:G3796" si="2852">E3796*1.1</f>
        <v>24557.500000000004</v>
      </c>
      <c r="G3796" s="597">
        <f t="shared" si="2852"/>
        <v>27013.250000000007</v>
      </c>
      <c r="H3796" s="132"/>
    </row>
    <row r="3797" spans="1:8" s="300" customFormat="1" outlineLevel="3">
      <c r="A3797" s="429"/>
      <c r="B3797" s="429"/>
      <c r="C3797" s="539">
        <v>2211200</v>
      </c>
      <c r="D3797" s="429" t="s">
        <v>53</v>
      </c>
      <c r="E3797" s="597">
        <f>E3798</f>
        <v>844740</v>
      </c>
      <c r="F3797" s="597">
        <f t="shared" ref="F3797:G3797" si="2853">E3797*1.1</f>
        <v>929214.00000000012</v>
      </c>
      <c r="G3797" s="597">
        <f t="shared" si="2853"/>
        <v>1022135.4000000003</v>
      </c>
      <c r="H3797" s="132"/>
    </row>
    <row r="3798" spans="1:8" s="289" customFormat="1" outlineLevel="3">
      <c r="A3798" s="382"/>
      <c r="B3798" s="382"/>
      <c r="C3798" s="512">
        <v>2211201</v>
      </c>
      <c r="D3798" s="382" t="s">
        <v>91</v>
      </c>
      <c r="E3798" s="319">
        <f>894740-50000</f>
        <v>844740</v>
      </c>
      <c r="F3798" s="597">
        <f t="shared" ref="F3798:G3798" si="2854">E3798*1.1</f>
        <v>929214.00000000012</v>
      </c>
      <c r="G3798" s="597">
        <f t="shared" si="2854"/>
        <v>1022135.4000000003</v>
      </c>
      <c r="H3798" s="132"/>
    </row>
    <row r="3799" spans="1:8" s="300" customFormat="1" outlineLevel="3">
      <c r="A3799" s="429"/>
      <c r="B3799" s="429"/>
      <c r="C3799" s="539">
        <v>2211300</v>
      </c>
      <c r="D3799" s="429" t="s">
        <v>55</v>
      </c>
      <c r="E3799" s="597">
        <f>E3800</f>
        <v>57841</v>
      </c>
      <c r="F3799" s="597">
        <f t="shared" ref="F3799:G3799" si="2855">E3799*1.1</f>
        <v>63625.100000000006</v>
      </c>
      <c r="G3799" s="597">
        <f t="shared" si="2855"/>
        <v>69987.610000000015</v>
      </c>
      <c r="H3799" s="132"/>
    </row>
    <row r="3800" spans="1:8" s="289" customFormat="1" outlineLevel="3">
      <c r="A3800" s="382"/>
      <c r="B3800" s="382"/>
      <c r="C3800" s="512">
        <v>2211305</v>
      </c>
      <c r="D3800" s="382" t="s">
        <v>451</v>
      </c>
      <c r="E3800" s="319">
        <v>57841</v>
      </c>
      <c r="F3800" s="597">
        <f t="shared" ref="F3800:G3800" si="2856">E3800*1.1</f>
        <v>63625.100000000006</v>
      </c>
      <c r="G3800" s="597">
        <f t="shared" si="2856"/>
        <v>69987.610000000015</v>
      </c>
      <c r="H3800" s="132"/>
    </row>
    <row r="3801" spans="1:8" s="300" customFormat="1" outlineLevel="3">
      <c r="A3801" s="429"/>
      <c r="B3801" s="429"/>
      <c r="C3801" s="539">
        <v>2220100</v>
      </c>
      <c r="D3801" s="429" t="s">
        <v>225</v>
      </c>
      <c r="E3801" s="597">
        <f>E3802</f>
        <v>402671</v>
      </c>
      <c r="F3801" s="597">
        <f t="shared" ref="F3801:G3801" si="2857">E3801*1.1</f>
        <v>442938.10000000003</v>
      </c>
      <c r="G3801" s="597">
        <f t="shared" si="2857"/>
        <v>487231.91000000009</v>
      </c>
      <c r="H3801" s="132"/>
    </row>
    <row r="3802" spans="1:8" s="289" customFormat="1" outlineLevel="3">
      <c r="A3802" s="382"/>
      <c r="B3802" s="382"/>
      <c r="C3802" s="512">
        <v>2220101</v>
      </c>
      <c r="D3802" s="382" t="s">
        <v>225</v>
      </c>
      <c r="E3802" s="319">
        <f>702671-300000</f>
        <v>402671</v>
      </c>
      <c r="F3802" s="597">
        <f t="shared" ref="F3802:G3802" si="2858">E3802*1.1</f>
        <v>442938.10000000003</v>
      </c>
      <c r="G3802" s="597">
        <f t="shared" si="2858"/>
        <v>487231.91000000009</v>
      </c>
      <c r="H3802" s="132"/>
    </row>
    <row r="3803" spans="1:8" s="300" customFormat="1" outlineLevel="3">
      <c r="A3803" s="429"/>
      <c r="B3803" s="429"/>
      <c r="C3803" s="539">
        <v>2220200</v>
      </c>
      <c r="D3803" s="429" t="s">
        <v>179</v>
      </c>
      <c r="E3803" s="597">
        <f>SUM(E3804:E3806)</f>
        <v>184340</v>
      </c>
      <c r="F3803" s="597">
        <f t="shared" ref="F3803:G3803" si="2859">E3803*1.1</f>
        <v>202774.00000000003</v>
      </c>
      <c r="G3803" s="597">
        <f t="shared" si="2859"/>
        <v>223051.40000000005</v>
      </c>
      <c r="H3803" s="132"/>
    </row>
    <row r="3804" spans="1:8" s="289" customFormat="1" outlineLevel="3">
      <c r="A3804" s="382"/>
      <c r="B3804" s="382"/>
      <c r="C3804" s="512">
        <v>2220202</v>
      </c>
      <c r="D3804" s="382" t="s">
        <v>995</v>
      </c>
      <c r="E3804" s="319">
        <v>98560</v>
      </c>
      <c r="F3804" s="597">
        <f t="shared" ref="F3804:G3804" si="2860">E3804*1.1</f>
        <v>108416.00000000001</v>
      </c>
      <c r="G3804" s="597">
        <f t="shared" si="2860"/>
        <v>119257.60000000002</v>
      </c>
      <c r="H3804" s="132"/>
    </row>
    <row r="3805" spans="1:8" s="289" customFormat="1" outlineLevel="3">
      <c r="A3805" s="382"/>
      <c r="B3805" s="382"/>
      <c r="C3805" s="512">
        <v>2220205</v>
      </c>
      <c r="D3805" s="382" t="s">
        <v>180</v>
      </c>
      <c r="E3805" s="319">
        <v>56780</v>
      </c>
      <c r="F3805" s="597">
        <f t="shared" ref="F3805:G3805" si="2861">E3805*1.1</f>
        <v>62458.000000000007</v>
      </c>
      <c r="G3805" s="597">
        <f t="shared" si="2861"/>
        <v>68703.800000000017</v>
      </c>
      <c r="H3805" s="132"/>
    </row>
    <row r="3806" spans="1:8" s="289" customFormat="1" outlineLevel="3">
      <c r="A3806" s="382"/>
      <c r="B3806" s="382"/>
      <c r="C3806" s="512">
        <v>2220210</v>
      </c>
      <c r="D3806" s="382" t="s">
        <v>997</v>
      </c>
      <c r="E3806" s="319">
        <v>29000</v>
      </c>
      <c r="F3806" s="597">
        <f t="shared" ref="F3806:G3806" si="2862">E3806*1.1</f>
        <v>31900.000000000004</v>
      </c>
      <c r="G3806" s="597">
        <f t="shared" si="2862"/>
        <v>35090.000000000007</v>
      </c>
      <c r="H3806" s="132"/>
    </row>
    <row r="3807" spans="1:8" s="300" customFormat="1" outlineLevel="3">
      <c r="A3807" s="429"/>
      <c r="B3807" s="429"/>
      <c r="C3807" s="539">
        <v>3111400</v>
      </c>
      <c r="D3807" s="429" t="s">
        <v>343</v>
      </c>
      <c r="E3807" s="597">
        <f>E3808</f>
        <v>3225678</v>
      </c>
      <c r="F3807" s="597">
        <f t="shared" ref="F3807:G3807" si="2863">E3807*1.1</f>
        <v>3548245.8000000003</v>
      </c>
      <c r="G3807" s="597">
        <f t="shared" si="2863"/>
        <v>3903070.3800000008</v>
      </c>
      <c r="H3807" s="132"/>
    </row>
    <row r="3808" spans="1:8" s="289" customFormat="1" outlineLevel="3">
      <c r="A3808" s="382"/>
      <c r="B3808" s="382"/>
      <c r="C3808" s="512">
        <v>3111499</v>
      </c>
      <c r="D3808" s="382" t="s">
        <v>1013</v>
      </c>
      <c r="E3808" s="319">
        <f>2225678+1000000</f>
        <v>3225678</v>
      </c>
      <c r="F3808" s="597">
        <f t="shared" ref="F3808:G3808" si="2864">E3808*1.1</f>
        <v>3548245.8000000003</v>
      </c>
      <c r="G3808" s="597">
        <f t="shared" si="2864"/>
        <v>3903070.3800000008</v>
      </c>
      <c r="H3808" s="132"/>
    </row>
    <row r="3809" spans="1:8" s="300" customFormat="1" outlineLevel="2">
      <c r="A3809" s="429"/>
      <c r="B3809" s="429"/>
      <c r="C3809" s="539"/>
      <c r="D3809" s="429" t="s">
        <v>998</v>
      </c>
      <c r="E3809" s="597">
        <f>E3807+E3803+E3801+E3799+E3797+E3793+E3791+E3789+E3785+E3783+E3779+E3776+E3773</f>
        <v>10102372</v>
      </c>
      <c r="F3809" s="597">
        <f t="shared" ref="F3809:G3809" si="2865">E3809*1.1</f>
        <v>11112609.200000001</v>
      </c>
      <c r="G3809" s="597">
        <f t="shared" si="2865"/>
        <v>12223870.120000003</v>
      </c>
      <c r="H3809" s="132"/>
    </row>
    <row r="3810" spans="1:8" s="289" customFormat="1" outlineLevel="2">
      <c r="A3810" s="382"/>
      <c r="B3810" s="382"/>
      <c r="C3810" s="512"/>
      <c r="D3810" s="382"/>
      <c r="E3810" s="319"/>
      <c r="F3810" s="597">
        <f t="shared" ref="F3810:G3810" si="2866">E3810*1.1</f>
        <v>0</v>
      </c>
      <c r="G3810" s="597">
        <f t="shared" si="2866"/>
        <v>0</v>
      </c>
      <c r="H3810" s="132"/>
    </row>
    <row r="3811" spans="1:8" s="289" customFormat="1" outlineLevel="2">
      <c r="A3811" s="382"/>
      <c r="B3811" s="382"/>
      <c r="C3811" s="512"/>
      <c r="D3811" s="382"/>
      <c r="E3811" s="319"/>
      <c r="F3811" s="597">
        <f t="shared" ref="F3811:G3811" si="2867">E3811*1.1</f>
        <v>0</v>
      </c>
      <c r="G3811" s="597">
        <f t="shared" si="2867"/>
        <v>0</v>
      </c>
      <c r="H3811" s="132"/>
    </row>
    <row r="3812" spans="1:8" s="300" customFormat="1" outlineLevel="2">
      <c r="A3812" s="429"/>
      <c r="B3812" s="429"/>
      <c r="C3812" s="539"/>
      <c r="D3812" s="429" t="s">
        <v>184</v>
      </c>
      <c r="E3812" s="597"/>
      <c r="F3812" s="597">
        <f t="shared" ref="F3812:G3812" si="2868">E3812*1.1</f>
        <v>0</v>
      </c>
      <c r="G3812" s="597">
        <f t="shared" si="2868"/>
        <v>0</v>
      </c>
      <c r="H3812" s="132"/>
    </row>
    <row r="3813" spans="1:8" s="300" customFormat="1" outlineLevel="3">
      <c r="A3813" s="429"/>
      <c r="B3813" s="429"/>
      <c r="C3813" s="539">
        <v>2211000</v>
      </c>
      <c r="D3813" s="429" t="s">
        <v>173</v>
      </c>
      <c r="E3813" s="597">
        <f>E3814</f>
        <v>2000000</v>
      </c>
      <c r="F3813" s="597">
        <f t="shared" ref="F3813:G3813" si="2869">E3813*1.1</f>
        <v>2200000</v>
      </c>
      <c r="G3813" s="597">
        <f t="shared" si="2869"/>
        <v>2420000</v>
      </c>
      <c r="H3813" s="132"/>
    </row>
    <row r="3814" spans="1:8" s="289" customFormat="1" outlineLevel="3">
      <c r="A3814" s="382"/>
      <c r="B3814" s="382"/>
      <c r="C3814" s="512">
        <v>2211007</v>
      </c>
      <c r="D3814" s="382" t="s">
        <v>1014</v>
      </c>
      <c r="E3814" s="319">
        <v>2000000</v>
      </c>
      <c r="F3814" s="597">
        <f t="shared" ref="F3814:G3814" si="2870">E3814*1.1</f>
        <v>2200000</v>
      </c>
      <c r="G3814" s="597">
        <f t="shared" si="2870"/>
        <v>2420000</v>
      </c>
      <c r="H3814" s="132"/>
    </row>
    <row r="3815" spans="1:8" s="300" customFormat="1" outlineLevel="3">
      <c r="A3815" s="429"/>
      <c r="B3815" s="429"/>
      <c r="C3815" s="539">
        <v>3111300</v>
      </c>
      <c r="D3815" s="429" t="s">
        <v>752</v>
      </c>
      <c r="E3815" s="597">
        <f>SUM(E3816:E3820)</f>
        <v>9002186</v>
      </c>
      <c r="F3815" s="597">
        <f t="shared" ref="F3815:G3815" si="2871">E3815*1.1</f>
        <v>9902404.6000000015</v>
      </c>
      <c r="G3815" s="597">
        <f t="shared" si="2871"/>
        <v>10892645.060000002</v>
      </c>
      <c r="H3815" s="132"/>
    </row>
    <row r="3816" spans="1:8" s="289" customFormat="1" outlineLevel="3">
      <c r="A3816" s="382"/>
      <c r="B3816" s="382"/>
      <c r="C3816" s="512">
        <v>3111301</v>
      </c>
      <c r="D3816" s="382" t="s">
        <v>1015</v>
      </c>
      <c r="E3816" s="319">
        <v>3102186</v>
      </c>
      <c r="F3816" s="597">
        <f t="shared" ref="F3816:G3816" si="2872">E3816*1.1</f>
        <v>3412404.6</v>
      </c>
      <c r="G3816" s="597">
        <f t="shared" si="2872"/>
        <v>3753645.0600000005</v>
      </c>
      <c r="H3816" s="132"/>
    </row>
    <row r="3817" spans="1:8" s="289" customFormat="1" outlineLevel="3">
      <c r="A3817" s="382"/>
      <c r="B3817" s="382"/>
      <c r="C3817" s="512">
        <v>3111302</v>
      </c>
      <c r="D3817" s="382" t="s">
        <v>1016</v>
      </c>
      <c r="E3817" s="319">
        <v>2400000</v>
      </c>
      <c r="F3817" s="597">
        <f t="shared" ref="F3817:G3817" si="2873">E3817*1.1</f>
        <v>2640000</v>
      </c>
      <c r="G3817" s="597">
        <f t="shared" si="2873"/>
        <v>2904000.0000000005</v>
      </c>
      <c r="H3817" s="132"/>
    </row>
    <row r="3818" spans="1:8" s="289" customFormat="1" outlineLevel="3">
      <c r="A3818" s="382"/>
      <c r="B3818" s="382"/>
      <c r="C3818" s="512">
        <v>3111302</v>
      </c>
      <c r="D3818" s="382" t="s">
        <v>1017</v>
      </c>
      <c r="E3818" s="319">
        <v>1000000</v>
      </c>
      <c r="F3818" s="597">
        <f t="shared" ref="F3818:G3818" si="2874">E3818*1.1</f>
        <v>1100000</v>
      </c>
      <c r="G3818" s="597">
        <f t="shared" si="2874"/>
        <v>1210000</v>
      </c>
      <c r="H3818" s="132"/>
    </row>
    <row r="3819" spans="1:8" s="289" customFormat="1" outlineLevel="3">
      <c r="A3819" s="382"/>
      <c r="B3819" s="382"/>
      <c r="C3819" s="512">
        <v>3111302</v>
      </c>
      <c r="D3819" s="382" t="s">
        <v>1018</v>
      </c>
      <c r="E3819" s="319">
        <v>1500000</v>
      </c>
      <c r="F3819" s="597">
        <f t="shared" ref="F3819:G3819" si="2875">E3819*1.1</f>
        <v>1650000.0000000002</v>
      </c>
      <c r="G3819" s="597">
        <f t="shared" si="2875"/>
        <v>1815000.0000000005</v>
      </c>
      <c r="H3819" s="132"/>
    </row>
    <row r="3820" spans="1:8" s="289" customFormat="1" outlineLevel="3">
      <c r="A3820" s="382"/>
      <c r="B3820" s="382"/>
      <c r="C3820" s="512">
        <v>3111302</v>
      </c>
      <c r="D3820" s="382" t="s">
        <v>1019</v>
      </c>
      <c r="E3820" s="319">
        <v>1000000</v>
      </c>
      <c r="F3820" s="597">
        <f t="shared" ref="F3820:G3820" si="2876">E3820*1.1</f>
        <v>1100000</v>
      </c>
      <c r="G3820" s="597">
        <f t="shared" si="2876"/>
        <v>1210000</v>
      </c>
      <c r="H3820" s="132"/>
    </row>
    <row r="3821" spans="1:8" s="300" customFormat="1" outlineLevel="3">
      <c r="A3821" s="429"/>
      <c r="B3821" s="429"/>
      <c r="C3821" s="539">
        <v>3111400</v>
      </c>
      <c r="D3821" s="429" t="s">
        <v>343</v>
      </c>
      <c r="E3821" s="597">
        <f>E3822</f>
        <v>6000000</v>
      </c>
      <c r="F3821" s="597">
        <f t="shared" ref="F3821:G3821" si="2877">E3821*1.1</f>
        <v>6600000.0000000009</v>
      </c>
      <c r="G3821" s="597">
        <f t="shared" si="2877"/>
        <v>7260000.0000000019</v>
      </c>
      <c r="H3821" s="132"/>
    </row>
    <row r="3822" spans="1:8" s="289" customFormat="1" outlineLevel="3">
      <c r="A3822" s="382"/>
      <c r="B3822" s="382"/>
      <c r="C3822" s="512">
        <v>3111499</v>
      </c>
      <c r="D3822" s="382" t="s">
        <v>1020</v>
      </c>
      <c r="E3822" s="319">
        <f>7000000-1000000</f>
        <v>6000000</v>
      </c>
      <c r="F3822" s="597">
        <f t="shared" ref="F3822:G3822" si="2878">E3822*1.1</f>
        <v>6600000.0000000009</v>
      </c>
      <c r="G3822" s="597">
        <f t="shared" si="2878"/>
        <v>7260000.0000000019</v>
      </c>
      <c r="H3822" s="132"/>
    </row>
    <row r="3823" spans="1:8" s="300" customFormat="1" outlineLevel="2">
      <c r="A3823" s="429"/>
      <c r="B3823" s="429"/>
      <c r="C3823" s="539"/>
      <c r="D3823" s="429" t="s">
        <v>348</v>
      </c>
      <c r="E3823" s="597">
        <f>E3821+E3815+E3813</f>
        <v>17002186</v>
      </c>
      <c r="F3823" s="597">
        <f t="shared" ref="F3823:G3823" si="2879">E3823*1.1</f>
        <v>18702404.600000001</v>
      </c>
      <c r="G3823" s="597">
        <f t="shared" si="2879"/>
        <v>20572645.060000002</v>
      </c>
      <c r="H3823" s="132"/>
    </row>
    <row r="3824" spans="1:8" s="300" customFormat="1" outlineLevel="1">
      <c r="A3824" s="429"/>
      <c r="B3824" s="429"/>
      <c r="C3824" s="539"/>
      <c r="D3824" s="429" t="s">
        <v>1021</v>
      </c>
      <c r="E3824" s="597">
        <f>E3823+E3809</f>
        <v>27104558</v>
      </c>
      <c r="F3824" s="597">
        <f t="shared" ref="F3824:G3824" si="2880">E3824*1.1</f>
        <v>29815013.800000001</v>
      </c>
      <c r="G3824" s="597">
        <f t="shared" si="2880"/>
        <v>32796515.180000003</v>
      </c>
      <c r="H3824" s="132"/>
    </row>
    <row r="3825" spans="1:8" s="289" customFormat="1" outlineLevel="1">
      <c r="A3825" s="382"/>
      <c r="B3825" s="382"/>
      <c r="C3825" s="512"/>
      <c r="D3825" s="382"/>
      <c r="E3825" s="319"/>
      <c r="F3825" s="597">
        <f t="shared" ref="F3825:G3825" si="2881">E3825*1.1</f>
        <v>0</v>
      </c>
      <c r="G3825" s="597">
        <f t="shared" si="2881"/>
        <v>0</v>
      </c>
      <c r="H3825" s="132"/>
    </row>
    <row r="3826" spans="1:8" s="300" customFormat="1" outlineLevel="1">
      <c r="A3826" s="429"/>
      <c r="B3826" s="429"/>
      <c r="C3826" s="539" t="s">
        <v>1022</v>
      </c>
      <c r="D3826" s="429"/>
      <c r="E3826" s="597"/>
      <c r="F3826" s="597">
        <f t="shared" ref="F3826:G3826" si="2882">E3826*1.1</f>
        <v>0</v>
      </c>
      <c r="G3826" s="597">
        <f t="shared" si="2882"/>
        <v>0</v>
      </c>
      <c r="H3826" s="132"/>
    </row>
    <row r="3827" spans="1:8" s="300" customFormat="1" outlineLevel="3">
      <c r="A3827" s="429"/>
      <c r="B3827" s="429"/>
      <c r="C3827" s="539">
        <v>2210100</v>
      </c>
      <c r="D3827" s="429" t="s">
        <v>336</v>
      </c>
      <c r="E3827" s="597">
        <f>SUM(E3828:E3829)</f>
        <v>84152</v>
      </c>
      <c r="F3827" s="597">
        <f t="shared" ref="F3827:G3827" si="2883">E3827*1.1</f>
        <v>92567.200000000012</v>
      </c>
      <c r="G3827" s="597">
        <f t="shared" si="2883"/>
        <v>101823.92000000003</v>
      </c>
      <c r="H3827" s="132"/>
    </row>
    <row r="3828" spans="1:8" s="289" customFormat="1" outlineLevel="3">
      <c r="A3828" s="382"/>
      <c r="B3828" s="382"/>
      <c r="C3828" s="512">
        <v>2210101</v>
      </c>
      <c r="D3828" s="382" t="s">
        <v>17</v>
      </c>
      <c r="E3828" s="319">
        <v>63052</v>
      </c>
      <c r="F3828" s="597">
        <f t="shared" ref="F3828:G3828" si="2884">E3828*1.1</f>
        <v>69357.200000000012</v>
      </c>
      <c r="G3828" s="597">
        <f t="shared" si="2884"/>
        <v>76292.920000000013</v>
      </c>
      <c r="H3828" s="132"/>
    </row>
    <row r="3829" spans="1:8" s="289" customFormat="1" outlineLevel="3">
      <c r="A3829" s="382"/>
      <c r="B3829" s="382"/>
      <c r="C3829" s="512">
        <v>2210102</v>
      </c>
      <c r="D3829" s="382" t="s">
        <v>18</v>
      </c>
      <c r="E3829" s="319">
        <v>21100</v>
      </c>
      <c r="F3829" s="597">
        <f t="shared" ref="F3829:G3829" si="2885">E3829*1.1</f>
        <v>23210.000000000004</v>
      </c>
      <c r="G3829" s="597">
        <f t="shared" si="2885"/>
        <v>25531.000000000007</v>
      </c>
      <c r="H3829" s="132"/>
    </row>
    <row r="3830" spans="1:8" s="300" customFormat="1" outlineLevel="3">
      <c r="A3830" s="429"/>
      <c r="B3830" s="429"/>
      <c r="C3830" s="539">
        <v>2210200</v>
      </c>
      <c r="D3830" s="429" t="s">
        <v>337</v>
      </c>
      <c r="E3830" s="597">
        <f>E3831</f>
        <v>312949</v>
      </c>
      <c r="F3830" s="597">
        <f t="shared" ref="F3830:G3830" si="2886">E3830*1.1</f>
        <v>344243.9</v>
      </c>
      <c r="G3830" s="597">
        <f t="shared" si="2886"/>
        <v>378668.29000000004</v>
      </c>
      <c r="H3830" s="132"/>
    </row>
    <row r="3831" spans="1:8" s="289" customFormat="1" outlineLevel="3">
      <c r="A3831" s="382"/>
      <c r="B3831" s="382"/>
      <c r="C3831" s="512">
        <v>2210201</v>
      </c>
      <c r="D3831" s="382" t="s">
        <v>20</v>
      </c>
      <c r="E3831" s="319">
        <f>112949+200000</f>
        <v>312949</v>
      </c>
      <c r="F3831" s="597">
        <f t="shared" ref="F3831:G3831" si="2887">E3831*1.1</f>
        <v>344243.9</v>
      </c>
      <c r="G3831" s="597">
        <f t="shared" si="2887"/>
        <v>378668.29000000004</v>
      </c>
      <c r="H3831" s="132"/>
    </row>
    <row r="3832" spans="1:8" s="300" customFormat="1" outlineLevel="3">
      <c r="A3832" s="429"/>
      <c r="B3832" s="429"/>
      <c r="C3832" s="539">
        <v>2210300</v>
      </c>
      <c r="D3832" s="429" t="s">
        <v>318</v>
      </c>
      <c r="E3832" s="597">
        <f>SUM(E3833:E3835)</f>
        <v>1014425</v>
      </c>
      <c r="F3832" s="597">
        <f t="shared" ref="F3832:G3832" si="2888">E3832*1.1</f>
        <v>1115867.5</v>
      </c>
      <c r="G3832" s="597">
        <f t="shared" si="2888"/>
        <v>1227454.25</v>
      </c>
      <c r="H3832" s="132"/>
    </row>
    <row r="3833" spans="1:8" s="289" customFormat="1" outlineLevel="3">
      <c r="A3833" s="382"/>
      <c r="B3833" s="382"/>
      <c r="C3833" s="512">
        <v>2210301</v>
      </c>
      <c r="D3833" s="382" t="s">
        <v>24</v>
      </c>
      <c r="E3833" s="319">
        <v>69600</v>
      </c>
      <c r="F3833" s="597">
        <f t="shared" ref="F3833:G3833" si="2889">E3833*1.1</f>
        <v>76560</v>
      </c>
      <c r="G3833" s="597">
        <f t="shared" si="2889"/>
        <v>84216</v>
      </c>
      <c r="H3833" s="132"/>
    </row>
    <row r="3834" spans="1:8" s="289" customFormat="1" outlineLevel="3">
      <c r="A3834" s="382"/>
      <c r="B3834" s="382"/>
      <c r="C3834" s="512">
        <v>2210302</v>
      </c>
      <c r="D3834" s="382" t="s">
        <v>988</v>
      </c>
      <c r="E3834" s="319">
        <v>312240</v>
      </c>
      <c r="F3834" s="597">
        <f t="shared" ref="F3834:G3834" si="2890">E3834*1.1</f>
        <v>343464</v>
      </c>
      <c r="G3834" s="597">
        <f t="shared" si="2890"/>
        <v>377810.4</v>
      </c>
      <c r="H3834" s="132"/>
    </row>
    <row r="3835" spans="1:8" s="289" customFormat="1" outlineLevel="3">
      <c r="A3835" s="382"/>
      <c r="B3835" s="382"/>
      <c r="C3835" s="512">
        <v>2210303</v>
      </c>
      <c r="D3835" s="382" t="s">
        <v>26</v>
      </c>
      <c r="E3835" s="319">
        <v>632585</v>
      </c>
      <c r="F3835" s="597">
        <f t="shared" ref="F3835:G3835" si="2891">E3835*1.1</f>
        <v>695843.5</v>
      </c>
      <c r="G3835" s="597">
        <f t="shared" si="2891"/>
        <v>765427.85000000009</v>
      </c>
      <c r="H3835" s="132"/>
    </row>
    <row r="3836" spans="1:8" s="300" customFormat="1" outlineLevel="3">
      <c r="A3836" s="429"/>
      <c r="B3836" s="429"/>
      <c r="C3836" s="539">
        <v>2210500</v>
      </c>
      <c r="D3836" s="429" t="s">
        <v>30</v>
      </c>
      <c r="E3836" s="597">
        <f>SUM(E3837:E3838)</f>
        <v>26028</v>
      </c>
      <c r="F3836" s="597">
        <f t="shared" ref="F3836:G3836" si="2892">E3836*1.1</f>
        <v>28630.800000000003</v>
      </c>
      <c r="G3836" s="597">
        <f t="shared" si="2892"/>
        <v>31493.880000000005</v>
      </c>
      <c r="H3836" s="132"/>
    </row>
    <row r="3837" spans="1:8" s="289" customFormat="1" outlineLevel="3">
      <c r="A3837" s="382"/>
      <c r="B3837" s="382"/>
      <c r="C3837" s="512">
        <v>2210502</v>
      </c>
      <c r="D3837" s="382" t="s">
        <v>162</v>
      </c>
      <c r="E3837" s="319">
        <v>8628</v>
      </c>
      <c r="F3837" s="597">
        <f t="shared" ref="F3837:G3837" si="2893">E3837*1.1</f>
        <v>9490.8000000000011</v>
      </c>
      <c r="G3837" s="597">
        <f t="shared" si="2893"/>
        <v>10439.880000000003</v>
      </c>
      <c r="H3837" s="132"/>
    </row>
    <row r="3838" spans="1:8" s="289" customFormat="1" outlineLevel="3">
      <c r="A3838" s="382"/>
      <c r="B3838" s="382"/>
      <c r="C3838" s="512">
        <v>2210503</v>
      </c>
      <c r="D3838" s="382" t="s">
        <v>31</v>
      </c>
      <c r="E3838" s="319">
        <v>17400</v>
      </c>
      <c r="F3838" s="597">
        <f t="shared" ref="F3838:G3838" si="2894">E3838*1.1</f>
        <v>19140</v>
      </c>
      <c r="G3838" s="597">
        <f t="shared" si="2894"/>
        <v>21054</v>
      </c>
      <c r="H3838" s="132"/>
    </row>
    <row r="3839" spans="1:8" s="300" customFormat="1" outlineLevel="3">
      <c r="A3839" s="429"/>
      <c r="B3839" s="429"/>
      <c r="C3839" s="539">
        <v>2210700</v>
      </c>
      <c r="D3839" s="429" t="s">
        <v>322</v>
      </c>
      <c r="E3839" s="597">
        <f>SUM(E3840:E3841)</f>
        <v>1017087</v>
      </c>
      <c r="F3839" s="597">
        <f t="shared" ref="F3839:G3839" si="2895">E3839*1.1</f>
        <v>1118795.7000000002</v>
      </c>
      <c r="G3839" s="597">
        <f t="shared" si="2895"/>
        <v>1230675.2700000003</v>
      </c>
      <c r="H3839" s="132"/>
    </row>
    <row r="3840" spans="1:8" s="289" customFormat="1" outlineLevel="3">
      <c r="A3840" s="382"/>
      <c r="B3840" s="382"/>
      <c r="C3840" s="512">
        <v>2210701</v>
      </c>
      <c r="D3840" s="382" t="s">
        <v>338</v>
      </c>
      <c r="E3840" s="319">
        <f>688199+300000</f>
        <v>988199</v>
      </c>
      <c r="F3840" s="597">
        <f t="shared" ref="F3840:G3840" si="2896">E3840*1.1</f>
        <v>1087018.9000000001</v>
      </c>
      <c r="G3840" s="597">
        <f t="shared" si="2896"/>
        <v>1195720.7900000003</v>
      </c>
      <c r="H3840" s="132"/>
    </row>
    <row r="3841" spans="1:8" s="289" customFormat="1" outlineLevel="3">
      <c r="A3841" s="382"/>
      <c r="B3841" s="382"/>
      <c r="C3841" s="512">
        <v>2210704</v>
      </c>
      <c r="D3841" s="382" t="s">
        <v>37</v>
      </c>
      <c r="E3841" s="319">
        <v>28888</v>
      </c>
      <c r="F3841" s="597">
        <f t="shared" ref="F3841:G3841" si="2897">E3841*1.1</f>
        <v>31776.800000000003</v>
      </c>
      <c r="G3841" s="597">
        <f t="shared" si="2897"/>
        <v>34954.480000000003</v>
      </c>
      <c r="H3841" s="132"/>
    </row>
    <row r="3842" spans="1:8" s="300" customFormat="1" outlineLevel="3">
      <c r="A3842" s="429"/>
      <c r="B3842" s="429"/>
      <c r="C3842" s="539">
        <v>2210800</v>
      </c>
      <c r="D3842" s="429" t="s">
        <v>41</v>
      </c>
      <c r="E3842" s="597">
        <f>E3843</f>
        <v>152035</v>
      </c>
      <c r="F3842" s="597">
        <f t="shared" ref="F3842:G3842" si="2898">E3842*1.1</f>
        <v>167238.5</v>
      </c>
      <c r="G3842" s="597">
        <f t="shared" si="2898"/>
        <v>183962.35</v>
      </c>
      <c r="H3842" s="132"/>
    </row>
    <row r="3843" spans="1:8" s="289" customFormat="1" outlineLevel="3">
      <c r="A3843" s="382"/>
      <c r="B3843" s="382"/>
      <c r="C3843" s="512">
        <v>2210801</v>
      </c>
      <c r="D3843" s="382" t="s">
        <v>112</v>
      </c>
      <c r="E3843" s="319">
        <v>152035</v>
      </c>
      <c r="F3843" s="597">
        <f t="shared" ref="F3843:G3843" si="2899">E3843*1.1</f>
        <v>167238.5</v>
      </c>
      <c r="G3843" s="597">
        <f t="shared" si="2899"/>
        <v>183962.35</v>
      </c>
      <c r="H3843" s="132"/>
    </row>
    <row r="3844" spans="1:8" s="300" customFormat="1" outlineLevel="3">
      <c r="A3844" s="429"/>
      <c r="B3844" s="429"/>
      <c r="C3844" s="539">
        <v>2211000</v>
      </c>
      <c r="D3844" s="429" t="s">
        <v>173</v>
      </c>
      <c r="E3844" s="597">
        <f>E3845</f>
        <v>290242</v>
      </c>
      <c r="F3844" s="597">
        <f t="shared" ref="F3844:G3844" si="2900">E3844*1.1</f>
        <v>319266.2</v>
      </c>
      <c r="G3844" s="597">
        <f t="shared" si="2900"/>
        <v>351192.82000000007</v>
      </c>
      <c r="H3844" s="132"/>
    </row>
    <row r="3845" spans="1:8" s="289" customFormat="1" outlineLevel="3">
      <c r="A3845" s="382"/>
      <c r="B3845" s="382"/>
      <c r="C3845" s="512">
        <v>2211023</v>
      </c>
      <c r="D3845" s="382" t="s">
        <v>1023</v>
      </c>
      <c r="E3845" s="319">
        <v>290242</v>
      </c>
      <c r="F3845" s="597">
        <f t="shared" ref="F3845:G3845" si="2901">E3845*1.1</f>
        <v>319266.2</v>
      </c>
      <c r="G3845" s="597">
        <f t="shared" si="2901"/>
        <v>351192.82000000007</v>
      </c>
      <c r="H3845" s="132"/>
    </row>
    <row r="3846" spans="1:8" s="300" customFormat="1" outlineLevel="3">
      <c r="A3846" s="429"/>
      <c r="B3846" s="429"/>
      <c r="C3846" s="539">
        <v>2211100</v>
      </c>
      <c r="D3846" s="429" t="s">
        <v>327</v>
      </c>
      <c r="E3846" s="597">
        <f>SUM(E3847:E3849)</f>
        <v>334091</v>
      </c>
      <c r="F3846" s="597">
        <f t="shared" ref="F3846:G3846" si="2902">E3846*1.1</f>
        <v>367500.10000000003</v>
      </c>
      <c r="G3846" s="597">
        <f t="shared" si="2902"/>
        <v>404250.11000000004</v>
      </c>
      <c r="H3846" s="132"/>
    </row>
    <row r="3847" spans="1:8" s="289" customFormat="1" outlineLevel="3">
      <c r="A3847" s="382"/>
      <c r="B3847" s="382"/>
      <c r="C3847" s="512">
        <v>2211101</v>
      </c>
      <c r="D3847" s="382" t="s">
        <v>50</v>
      </c>
      <c r="E3847" s="319">
        <v>100394</v>
      </c>
      <c r="F3847" s="597">
        <f t="shared" ref="F3847:G3847" si="2903">E3847*1.1</f>
        <v>110433.40000000001</v>
      </c>
      <c r="G3847" s="597">
        <f t="shared" si="2903"/>
        <v>121476.74000000002</v>
      </c>
      <c r="H3847" s="132"/>
    </row>
    <row r="3848" spans="1:8" s="289" customFormat="1" outlineLevel="3">
      <c r="A3848" s="382"/>
      <c r="B3848" s="382"/>
      <c r="C3848" s="512">
        <v>2211102</v>
      </c>
      <c r="D3848" s="382" t="s">
        <v>51</v>
      </c>
      <c r="E3848" s="319">
        <v>135090</v>
      </c>
      <c r="F3848" s="597">
        <f t="shared" ref="F3848:G3848" si="2904">E3848*1.1</f>
        <v>148599</v>
      </c>
      <c r="G3848" s="597">
        <f t="shared" si="2904"/>
        <v>163458.90000000002</v>
      </c>
      <c r="H3848" s="132"/>
    </row>
    <row r="3849" spans="1:8" s="289" customFormat="1" outlineLevel="3">
      <c r="A3849" s="382"/>
      <c r="B3849" s="382"/>
      <c r="C3849" s="512">
        <v>2211103</v>
      </c>
      <c r="D3849" s="382" t="s">
        <v>52</v>
      </c>
      <c r="E3849" s="319">
        <v>98607</v>
      </c>
      <c r="F3849" s="597">
        <f t="shared" ref="F3849:G3849" si="2905">E3849*1.1</f>
        <v>108467.70000000001</v>
      </c>
      <c r="G3849" s="597">
        <f t="shared" si="2905"/>
        <v>119314.47000000002</v>
      </c>
      <c r="H3849" s="132"/>
    </row>
    <row r="3850" spans="1:8" s="300" customFormat="1" outlineLevel="3">
      <c r="A3850" s="429"/>
      <c r="B3850" s="429"/>
      <c r="C3850" s="539">
        <v>2211200</v>
      </c>
      <c r="D3850" s="429" t="s">
        <v>53</v>
      </c>
      <c r="E3850" s="597">
        <f>E3851</f>
        <v>888067</v>
      </c>
      <c r="F3850" s="597">
        <f t="shared" ref="F3850:G3850" si="2906">E3850*1.1</f>
        <v>976873.70000000007</v>
      </c>
      <c r="G3850" s="597">
        <f t="shared" si="2906"/>
        <v>1074561.07</v>
      </c>
      <c r="H3850" s="132"/>
    </row>
    <row r="3851" spans="1:8" s="289" customFormat="1" outlineLevel="3">
      <c r="A3851" s="382"/>
      <c r="B3851" s="382"/>
      <c r="C3851" s="512">
        <v>2211201</v>
      </c>
      <c r="D3851" s="382" t="s">
        <v>91</v>
      </c>
      <c r="E3851" s="319">
        <v>888067</v>
      </c>
      <c r="F3851" s="597">
        <f t="shared" ref="F3851:G3851" si="2907">E3851*1.1</f>
        <v>976873.70000000007</v>
      </c>
      <c r="G3851" s="597">
        <f t="shared" si="2907"/>
        <v>1074561.07</v>
      </c>
      <c r="H3851" s="132"/>
    </row>
    <row r="3852" spans="1:8" s="300" customFormat="1" outlineLevel="3">
      <c r="A3852" s="429"/>
      <c r="B3852" s="429"/>
      <c r="C3852" s="539">
        <v>2220100</v>
      </c>
      <c r="D3852" s="429" t="s">
        <v>225</v>
      </c>
      <c r="E3852" s="597">
        <f>E3853</f>
        <v>506247</v>
      </c>
      <c r="F3852" s="597">
        <f t="shared" ref="F3852:G3852" si="2908">E3852*1.1</f>
        <v>556871.70000000007</v>
      </c>
      <c r="G3852" s="597">
        <f t="shared" si="2908"/>
        <v>612558.87000000011</v>
      </c>
      <c r="H3852" s="132"/>
    </row>
    <row r="3853" spans="1:8" s="289" customFormat="1" outlineLevel="3">
      <c r="A3853" s="382"/>
      <c r="B3853" s="382"/>
      <c r="C3853" s="512">
        <v>2220101</v>
      </c>
      <c r="D3853" s="382" t="s">
        <v>225</v>
      </c>
      <c r="E3853" s="319">
        <v>506247</v>
      </c>
      <c r="F3853" s="597">
        <f t="shared" ref="F3853:G3853" si="2909">E3853*1.1</f>
        <v>556871.70000000007</v>
      </c>
      <c r="G3853" s="597">
        <f t="shared" si="2909"/>
        <v>612558.87000000011</v>
      </c>
      <c r="H3853" s="132"/>
    </row>
    <row r="3854" spans="1:8" s="300" customFormat="1" outlineLevel="3">
      <c r="A3854" s="429"/>
      <c r="B3854" s="429"/>
      <c r="C3854" s="539">
        <v>3111400</v>
      </c>
      <c r="D3854" s="429" t="s">
        <v>343</v>
      </c>
      <c r="E3854" s="597">
        <f>E3855</f>
        <v>3786890</v>
      </c>
      <c r="F3854" s="597">
        <f t="shared" ref="F3854:G3854" si="2910">E3854*1.1</f>
        <v>4165579.0000000005</v>
      </c>
      <c r="G3854" s="597">
        <f t="shared" si="2910"/>
        <v>4582136.9000000013</v>
      </c>
      <c r="H3854" s="132"/>
    </row>
    <row r="3855" spans="1:8" s="289" customFormat="1" outlineLevel="3">
      <c r="A3855" s="382"/>
      <c r="B3855" s="382"/>
      <c r="C3855" s="512">
        <v>3111401</v>
      </c>
      <c r="D3855" s="382" t="s">
        <v>1024</v>
      </c>
      <c r="E3855" s="319">
        <v>3786890</v>
      </c>
      <c r="F3855" s="597">
        <f t="shared" ref="F3855:G3855" si="2911">E3855*1.1</f>
        <v>4165579.0000000005</v>
      </c>
      <c r="G3855" s="597">
        <f t="shared" si="2911"/>
        <v>4582136.9000000013</v>
      </c>
      <c r="H3855" s="132"/>
    </row>
    <row r="3856" spans="1:8" s="300" customFormat="1" outlineLevel="2">
      <c r="A3856" s="429"/>
      <c r="B3856" s="429"/>
      <c r="C3856" s="539"/>
      <c r="D3856" s="429" t="s">
        <v>998</v>
      </c>
      <c r="E3856" s="597">
        <f>E3854+E3852+E3850+E3846+E3844+E3842+E3839+E3836+E3832+E3830+E3827</f>
        <v>8412213</v>
      </c>
      <c r="F3856" s="597">
        <f t="shared" ref="F3856:G3856" si="2912">E3856*1.1</f>
        <v>9253434.3000000007</v>
      </c>
      <c r="G3856" s="597">
        <f t="shared" si="2912"/>
        <v>10178777.730000002</v>
      </c>
      <c r="H3856" s="132"/>
    </row>
    <row r="3857" spans="1:8" s="300" customFormat="1" outlineLevel="2">
      <c r="A3857" s="429"/>
      <c r="B3857" s="429"/>
      <c r="C3857" s="539"/>
      <c r="D3857" s="429"/>
      <c r="E3857" s="597"/>
      <c r="F3857" s="597">
        <f t="shared" ref="F3857:G3857" si="2913">E3857*1.1</f>
        <v>0</v>
      </c>
      <c r="G3857" s="597">
        <f t="shared" si="2913"/>
        <v>0</v>
      </c>
      <c r="H3857" s="132"/>
    </row>
    <row r="3858" spans="1:8" s="300" customFormat="1" outlineLevel="2">
      <c r="A3858" s="429"/>
      <c r="B3858" s="429"/>
      <c r="C3858" s="539"/>
      <c r="D3858" s="429" t="s">
        <v>184</v>
      </c>
      <c r="E3858" s="597"/>
      <c r="F3858" s="597">
        <f t="shared" ref="F3858:G3858" si="2914">E3858*1.1</f>
        <v>0</v>
      </c>
      <c r="G3858" s="597">
        <f t="shared" si="2914"/>
        <v>0</v>
      </c>
      <c r="H3858" s="132"/>
    </row>
    <row r="3859" spans="1:8" s="300" customFormat="1" outlineLevel="3">
      <c r="A3859" s="429"/>
      <c r="B3859" s="429"/>
      <c r="C3859" s="539">
        <v>2211000</v>
      </c>
      <c r="D3859" s="429" t="s">
        <v>173</v>
      </c>
      <c r="E3859" s="597">
        <f>SUM(E3860:E3860)</f>
        <v>5000000</v>
      </c>
      <c r="F3859" s="597">
        <f t="shared" ref="F3859:G3859" si="2915">E3859*1.1</f>
        <v>5500000</v>
      </c>
      <c r="G3859" s="597">
        <f t="shared" si="2915"/>
        <v>6050000.0000000009</v>
      </c>
      <c r="H3859" s="132"/>
    </row>
    <row r="3860" spans="1:8" s="289" customFormat="1" outlineLevel="3">
      <c r="A3860" s="382"/>
      <c r="B3860" s="382"/>
      <c r="C3860" s="512">
        <v>2211026</v>
      </c>
      <c r="D3860" s="382" t="s">
        <v>1025</v>
      </c>
      <c r="E3860" s="319">
        <v>5000000</v>
      </c>
      <c r="F3860" s="597">
        <f t="shared" ref="F3860:G3860" si="2916">E3860*1.1</f>
        <v>5500000</v>
      </c>
      <c r="G3860" s="597">
        <f t="shared" si="2916"/>
        <v>6050000.0000000009</v>
      </c>
      <c r="H3860" s="132"/>
    </row>
    <row r="3861" spans="1:8" s="300" customFormat="1" outlineLevel="3">
      <c r="A3861" s="429"/>
      <c r="B3861" s="429"/>
      <c r="C3861" s="539">
        <v>3110500</v>
      </c>
      <c r="D3861" s="429" t="s">
        <v>305</v>
      </c>
      <c r="E3861" s="597">
        <f>SUM(E3862:E3862)</f>
        <v>3000000</v>
      </c>
      <c r="F3861" s="597">
        <f t="shared" ref="F3861:G3861" si="2917">E3861*1.1</f>
        <v>3300000.0000000005</v>
      </c>
      <c r="G3861" s="597">
        <f t="shared" si="2917"/>
        <v>3630000.0000000009</v>
      </c>
      <c r="H3861" s="132"/>
    </row>
    <row r="3862" spans="1:8" s="289" customFormat="1" outlineLevel="3">
      <c r="A3862" s="382"/>
      <c r="B3862" s="382"/>
      <c r="C3862" s="512">
        <v>3110504</v>
      </c>
      <c r="D3862" s="382" t="s">
        <v>1026</v>
      </c>
      <c r="E3862" s="319">
        <f>2000000+1000000</f>
        <v>3000000</v>
      </c>
      <c r="F3862" s="597">
        <f t="shared" ref="F3862:G3862" si="2918">E3862*1.1</f>
        <v>3300000.0000000005</v>
      </c>
      <c r="G3862" s="597">
        <f t="shared" si="2918"/>
        <v>3630000.0000000009</v>
      </c>
      <c r="H3862" s="132"/>
    </row>
    <row r="3863" spans="1:8" s="300" customFormat="1" outlineLevel="2">
      <c r="A3863" s="429"/>
      <c r="B3863" s="429"/>
      <c r="C3863" s="539"/>
      <c r="D3863" s="429" t="s">
        <v>348</v>
      </c>
      <c r="E3863" s="597">
        <f>E3861+E3859</f>
        <v>8000000</v>
      </c>
      <c r="F3863" s="597">
        <f t="shared" ref="F3863:G3863" si="2919">E3863*1.1</f>
        <v>8800000</v>
      </c>
      <c r="G3863" s="597">
        <f t="shared" si="2919"/>
        <v>9680000</v>
      </c>
      <c r="H3863" s="132"/>
    </row>
    <row r="3864" spans="1:8" s="300" customFormat="1" outlineLevel="1">
      <c r="A3864" s="429"/>
      <c r="B3864" s="429"/>
      <c r="C3864" s="539"/>
      <c r="D3864" s="429" t="s">
        <v>80</v>
      </c>
      <c r="E3864" s="597">
        <f>E3863+E3856</f>
        <v>16412213</v>
      </c>
      <c r="F3864" s="597">
        <f t="shared" ref="F3864:G3864" si="2920">E3864*1.1</f>
        <v>18053434.300000001</v>
      </c>
      <c r="G3864" s="597">
        <f t="shared" si="2920"/>
        <v>19858777.730000004</v>
      </c>
      <c r="H3864" s="132"/>
    </row>
    <row r="3865" spans="1:8" s="300" customFormat="1" outlineLevel="1">
      <c r="A3865" s="429"/>
      <c r="B3865" s="429"/>
      <c r="C3865" s="539"/>
      <c r="D3865" s="429" t="s">
        <v>1027</v>
      </c>
      <c r="E3865" s="597">
        <f>E3856+E3809+E3768</f>
        <v>84887577</v>
      </c>
      <c r="F3865" s="597">
        <f t="shared" ref="F3865:G3865" si="2921">E3865*1.1</f>
        <v>93376334.700000003</v>
      </c>
      <c r="G3865" s="597">
        <f t="shared" si="2921"/>
        <v>102713968.17000002</v>
      </c>
      <c r="H3865" s="132"/>
    </row>
    <row r="3866" spans="1:8" s="300" customFormat="1" outlineLevel="1">
      <c r="A3866" s="429"/>
      <c r="B3866" s="429"/>
      <c r="C3866" s="539"/>
      <c r="D3866" s="429" t="s">
        <v>1028</v>
      </c>
      <c r="E3866" s="597">
        <f>E3863+E3823</f>
        <v>25002186</v>
      </c>
      <c r="F3866" s="597">
        <f t="shared" ref="F3866:G3866" si="2922">E3866*1.1</f>
        <v>27502404.600000001</v>
      </c>
      <c r="G3866" s="597">
        <f t="shared" si="2922"/>
        <v>30252645.060000002</v>
      </c>
      <c r="H3866" s="132"/>
    </row>
    <row r="3867" spans="1:8" s="300" customFormat="1" outlineLevel="1">
      <c r="A3867" s="429"/>
      <c r="B3867" s="429"/>
      <c r="C3867" s="539"/>
      <c r="D3867" s="429" t="s">
        <v>1029</v>
      </c>
      <c r="E3867" s="597">
        <f>E3865+E3866</f>
        <v>109889763</v>
      </c>
      <c r="F3867" s="597">
        <f t="shared" ref="F3867:G3867" si="2923">E3867*1.1</f>
        <v>120878739.30000001</v>
      </c>
      <c r="G3867" s="597">
        <f t="shared" si="2923"/>
        <v>132966613.23000002</v>
      </c>
      <c r="H3867" s="132"/>
    </row>
    <row r="3868" spans="1:8" s="306" customFormat="1">
      <c r="A3868" s="375"/>
      <c r="B3868" s="375"/>
      <c r="C3868" s="438"/>
      <c r="D3868" s="375" t="s">
        <v>377</v>
      </c>
      <c r="E3868" s="500">
        <f>E3865+E3719</f>
        <v>428788304</v>
      </c>
      <c r="F3868" s="500">
        <f t="shared" ref="F3868:G3868" si="2924">F3865+F3719</f>
        <v>471667134.40000004</v>
      </c>
      <c r="G3868" s="500">
        <f t="shared" si="2924"/>
        <v>518833847.84000009</v>
      </c>
      <c r="H3868" s="132"/>
    </row>
    <row r="3869" spans="1:8" s="306" customFormat="1">
      <c r="A3869" s="375"/>
      <c r="B3869" s="375"/>
      <c r="C3869" s="438"/>
      <c r="D3869" s="375" t="s">
        <v>857</v>
      </c>
      <c r="E3869" s="500">
        <f>E3866+E3720</f>
        <v>329695186</v>
      </c>
      <c r="F3869" s="500">
        <f t="shared" ref="F3869:G3869" si="2925">F3866+F3720</f>
        <v>362664704.60000002</v>
      </c>
      <c r="G3869" s="500">
        <f t="shared" si="2925"/>
        <v>398931175.06</v>
      </c>
      <c r="H3869" s="132"/>
    </row>
    <row r="3870" spans="1:8" s="306" customFormat="1">
      <c r="A3870" s="375"/>
      <c r="B3870" s="375"/>
      <c r="C3870" s="804" t="s">
        <v>1030</v>
      </c>
      <c r="D3870" s="805"/>
      <c r="E3870" s="500">
        <f>E3869+E3868</f>
        <v>758483490</v>
      </c>
      <c r="F3870" s="500">
        <f t="shared" ref="F3870:G3870" si="2926">F3869+F3868</f>
        <v>834331839</v>
      </c>
      <c r="G3870" s="500">
        <f t="shared" si="2926"/>
        <v>917765022.9000001</v>
      </c>
      <c r="H3870" s="132"/>
    </row>
    <row r="3871" spans="1:8">
      <c r="A3871" s="324"/>
      <c r="B3871" s="324"/>
      <c r="C3871" s="324"/>
      <c r="D3871" s="324"/>
      <c r="E3871" s="495"/>
      <c r="F3871" s="597"/>
      <c r="G3871" s="597"/>
    </row>
    <row r="3872" spans="1:8">
      <c r="A3872" s="324"/>
      <c r="B3872" s="324"/>
      <c r="C3872" s="324"/>
      <c r="D3872" s="324"/>
      <c r="E3872" s="495"/>
      <c r="F3872" s="597"/>
      <c r="G3872" s="597"/>
    </row>
    <row r="3873" spans="1:8">
      <c r="A3873" s="324"/>
      <c r="B3873" s="324"/>
      <c r="C3873" s="324"/>
      <c r="D3873" s="324"/>
      <c r="E3873" s="495"/>
      <c r="F3873" s="597"/>
      <c r="G3873" s="597"/>
    </row>
    <row r="3874" spans="1:8" s="307" customFormat="1" ht="15.75">
      <c r="A3874" s="494"/>
      <c r="B3874" s="494"/>
      <c r="C3874" s="438" t="s">
        <v>1031</v>
      </c>
      <c r="D3874" s="641"/>
      <c r="E3874" s="642"/>
      <c r="F3874" s="597"/>
      <c r="G3874" s="597"/>
      <c r="H3874" s="132"/>
    </row>
    <row r="3875" spans="1:8" s="307" customFormat="1" ht="15.75" outlineLevel="1">
      <c r="A3875" s="494"/>
      <c r="B3875" s="494"/>
      <c r="C3875" s="643" t="s">
        <v>438</v>
      </c>
      <c r="D3875" s="644"/>
      <c r="E3875" s="645">
        <v>0</v>
      </c>
      <c r="F3875" s="597">
        <f t="shared" ref="F3875:G3875" si="2927">E3875*1.1</f>
        <v>0</v>
      </c>
      <c r="G3875" s="597">
        <f t="shared" si="2927"/>
        <v>0</v>
      </c>
      <c r="H3875" s="132"/>
    </row>
    <row r="3876" spans="1:8" s="307" customFormat="1" ht="15.75" outlineLevel="2">
      <c r="A3876" s="494"/>
      <c r="B3876" s="494"/>
      <c r="C3876" s="646">
        <v>2110100</v>
      </c>
      <c r="D3876" s="647" t="s">
        <v>13</v>
      </c>
      <c r="E3876" s="642">
        <f>E3877</f>
        <v>66945284</v>
      </c>
      <c r="F3876" s="597">
        <f t="shared" ref="F3876:G3876" si="2928">E3876*1.1</f>
        <v>73639812.400000006</v>
      </c>
      <c r="G3876" s="597">
        <f t="shared" si="2928"/>
        <v>81003793.640000015</v>
      </c>
      <c r="H3876" s="132"/>
    </row>
    <row r="3877" spans="1:8" s="307" customFormat="1" ht="15.75" outlineLevel="2">
      <c r="A3877" s="494"/>
      <c r="B3877" s="494"/>
      <c r="C3877" s="648">
        <v>2110101</v>
      </c>
      <c r="D3877" s="649" t="s">
        <v>14</v>
      </c>
      <c r="E3877" s="645">
        <v>66945284</v>
      </c>
      <c r="F3877" s="597">
        <f t="shared" ref="F3877:G3877" si="2929">E3877*1.1</f>
        <v>73639812.400000006</v>
      </c>
      <c r="G3877" s="597">
        <f t="shared" si="2929"/>
        <v>81003793.640000015</v>
      </c>
      <c r="H3877" s="132"/>
    </row>
    <row r="3878" spans="1:8" s="307" customFormat="1" ht="15.75" outlineLevel="2">
      <c r="A3878" s="494"/>
      <c r="B3878" s="494"/>
      <c r="C3878" s="646">
        <v>2210100</v>
      </c>
      <c r="D3878" s="647" t="s">
        <v>16</v>
      </c>
      <c r="E3878" s="642">
        <f>E3879+E3880</f>
        <v>500000</v>
      </c>
      <c r="F3878" s="597">
        <f t="shared" ref="F3878:G3878" si="2930">E3878*1.1</f>
        <v>550000</v>
      </c>
      <c r="G3878" s="597">
        <f t="shared" si="2930"/>
        <v>605000</v>
      </c>
      <c r="H3878" s="132"/>
    </row>
    <row r="3879" spans="1:8" s="307" customFormat="1" ht="15.75" outlineLevel="2">
      <c r="A3879" s="494"/>
      <c r="B3879" s="494"/>
      <c r="C3879" s="648">
        <v>2210101</v>
      </c>
      <c r="D3879" s="649" t="s">
        <v>17</v>
      </c>
      <c r="E3879" s="650">
        <v>200000</v>
      </c>
      <c r="F3879" s="597">
        <f t="shared" ref="F3879:G3879" si="2931">E3879*1.1</f>
        <v>220000.00000000003</v>
      </c>
      <c r="G3879" s="597">
        <f t="shared" si="2931"/>
        <v>242000.00000000006</v>
      </c>
      <c r="H3879" s="132"/>
    </row>
    <row r="3880" spans="1:8" s="307" customFormat="1" ht="15.75" outlineLevel="2">
      <c r="A3880" s="494"/>
      <c r="B3880" s="494"/>
      <c r="C3880" s="648">
        <v>2210102</v>
      </c>
      <c r="D3880" s="649" t="s">
        <v>18</v>
      </c>
      <c r="E3880" s="650">
        <v>300000</v>
      </c>
      <c r="F3880" s="597">
        <f t="shared" ref="F3880:G3880" si="2932">E3880*1.1</f>
        <v>330000</v>
      </c>
      <c r="G3880" s="597">
        <f t="shared" si="2932"/>
        <v>363000.00000000006</v>
      </c>
      <c r="H3880" s="132"/>
    </row>
    <row r="3881" spans="1:8" s="307" customFormat="1" ht="15.75" outlineLevel="2">
      <c r="A3881" s="494"/>
      <c r="B3881" s="494"/>
      <c r="C3881" s="646">
        <v>2210200</v>
      </c>
      <c r="D3881" s="647" t="s">
        <v>19</v>
      </c>
      <c r="E3881" s="642">
        <f>SUM(E3882:E3884)</f>
        <v>400000</v>
      </c>
      <c r="F3881" s="597">
        <f t="shared" ref="F3881:G3881" si="2933">E3881*1.1</f>
        <v>440000.00000000006</v>
      </c>
      <c r="G3881" s="597">
        <f t="shared" si="2933"/>
        <v>484000.00000000012</v>
      </c>
      <c r="H3881" s="132"/>
    </row>
    <row r="3882" spans="1:8" s="307" customFormat="1" ht="15.75" outlineLevel="2">
      <c r="A3882" s="494"/>
      <c r="B3882" s="494"/>
      <c r="C3882" s="648">
        <v>2210201</v>
      </c>
      <c r="D3882" s="649" t="s">
        <v>236</v>
      </c>
      <c r="E3882" s="650">
        <v>200000</v>
      </c>
      <c r="F3882" s="597">
        <f t="shared" ref="F3882:G3882" si="2934">E3882*1.1</f>
        <v>220000.00000000003</v>
      </c>
      <c r="G3882" s="597">
        <f t="shared" si="2934"/>
        <v>242000.00000000006</v>
      </c>
      <c r="H3882" s="132"/>
    </row>
    <row r="3883" spans="1:8" s="307" customFormat="1" ht="15.75" outlineLevel="2">
      <c r="A3883" s="494"/>
      <c r="B3883" s="494"/>
      <c r="C3883" s="648">
        <v>2210202</v>
      </c>
      <c r="D3883" s="649" t="s">
        <v>439</v>
      </c>
      <c r="E3883" s="650">
        <v>100000</v>
      </c>
      <c r="F3883" s="597">
        <f t="shared" ref="F3883:G3883" si="2935">E3883*1.1</f>
        <v>110000.00000000001</v>
      </c>
      <c r="G3883" s="597">
        <f t="shared" si="2935"/>
        <v>121000.00000000003</v>
      </c>
      <c r="H3883" s="132"/>
    </row>
    <row r="3884" spans="1:8" s="307" customFormat="1" ht="15.75" outlineLevel="2">
      <c r="A3884" s="494"/>
      <c r="B3884" s="494"/>
      <c r="C3884" s="648">
        <v>2210203</v>
      </c>
      <c r="D3884" s="649" t="s">
        <v>22</v>
      </c>
      <c r="E3884" s="650">
        <v>100000</v>
      </c>
      <c r="F3884" s="597">
        <f t="shared" ref="F3884:G3884" si="2936">E3884*1.1</f>
        <v>110000.00000000001</v>
      </c>
      <c r="G3884" s="597">
        <f t="shared" si="2936"/>
        <v>121000.00000000003</v>
      </c>
      <c r="H3884" s="132"/>
    </row>
    <row r="3885" spans="1:8" s="307" customFormat="1" ht="30" outlineLevel="2">
      <c r="A3885" s="494"/>
      <c r="B3885" s="494"/>
      <c r="C3885" s="646">
        <v>2210300</v>
      </c>
      <c r="D3885" s="647" t="s">
        <v>23</v>
      </c>
      <c r="E3885" s="642">
        <f>SUM(E3886:E3888)</f>
        <v>1623809.52</v>
      </c>
      <c r="F3885" s="597">
        <f t="shared" ref="F3885:G3885" si="2937">E3885*1.1</f>
        <v>1786190.4720000001</v>
      </c>
      <c r="G3885" s="597">
        <f t="shared" si="2937"/>
        <v>1964809.5192000002</v>
      </c>
      <c r="H3885" s="132"/>
    </row>
    <row r="3886" spans="1:8" s="307" customFormat="1" ht="15.75" outlineLevel="2">
      <c r="A3886" s="494"/>
      <c r="B3886" s="494"/>
      <c r="C3886" s="648">
        <v>2210301</v>
      </c>
      <c r="D3886" s="649" t="s">
        <v>208</v>
      </c>
      <c r="E3886" s="650">
        <v>300000</v>
      </c>
      <c r="F3886" s="597">
        <f t="shared" ref="F3886:G3886" si="2938">E3886*1.1</f>
        <v>330000</v>
      </c>
      <c r="G3886" s="597">
        <f t="shared" si="2938"/>
        <v>363000.00000000006</v>
      </c>
      <c r="H3886" s="132"/>
    </row>
    <row r="3887" spans="1:8" s="307" customFormat="1" ht="15.75" outlineLevel="2">
      <c r="A3887" s="494"/>
      <c r="B3887" s="494"/>
      <c r="C3887" s="648">
        <v>2210302</v>
      </c>
      <c r="D3887" s="649" t="s">
        <v>25</v>
      </c>
      <c r="E3887" s="650">
        <v>300000</v>
      </c>
      <c r="F3887" s="597">
        <f t="shared" ref="F3887:G3887" si="2939">E3887*1.1</f>
        <v>330000</v>
      </c>
      <c r="G3887" s="597">
        <f t="shared" si="2939"/>
        <v>363000.00000000006</v>
      </c>
      <c r="H3887" s="132"/>
    </row>
    <row r="3888" spans="1:8" s="307" customFormat="1" ht="15.75" outlineLevel="2">
      <c r="A3888" s="494"/>
      <c r="B3888" s="494"/>
      <c r="C3888" s="648">
        <v>2210303</v>
      </c>
      <c r="D3888" s="649" t="s">
        <v>259</v>
      </c>
      <c r="E3888" s="650">
        <v>1023809.52</v>
      </c>
      <c r="F3888" s="597">
        <f t="shared" ref="F3888:G3888" si="2940">E3888*1.1</f>
        <v>1126190.4720000001</v>
      </c>
      <c r="G3888" s="597">
        <f t="shared" si="2940"/>
        <v>1238809.5192000002</v>
      </c>
      <c r="H3888" s="132"/>
    </row>
    <row r="3889" spans="1:8" s="307" customFormat="1" ht="15.75" outlineLevel="2">
      <c r="A3889" s="494"/>
      <c r="B3889" s="494"/>
      <c r="C3889" s="646">
        <v>2210500</v>
      </c>
      <c r="D3889" s="647" t="s">
        <v>30</v>
      </c>
      <c r="E3889" s="642">
        <f>E3890+E3891+E3893+E3892</f>
        <v>2050000</v>
      </c>
      <c r="F3889" s="597">
        <f t="shared" ref="F3889:G3889" si="2941">E3889*1.1</f>
        <v>2255000</v>
      </c>
      <c r="G3889" s="597">
        <f t="shared" si="2941"/>
        <v>2480500</v>
      </c>
      <c r="H3889" s="132"/>
    </row>
    <row r="3890" spans="1:8" s="307" customFormat="1" ht="15.75" outlineLevel="2">
      <c r="A3890" s="494"/>
      <c r="B3890" s="494"/>
      <c r="C3890" s="648">
        <v>2210502</v>
      </c>
      <c r="D3890" s="649" t="s">
        <v>162</v>
      </c>
      <c r="E3890" s="650">
        <v>300000</v>
      </c>
      <c r="F3890" s="597">
        <f t="shared" ref="F3890:G3890" si="2942">E3890*1.1</f>
        <v>330000</v>
      </c>
      <c r="G3890" s="597">
        <f t="shared" si="2942"/>
        <v>363000.00000000006</v>
      </c>
      <c r="H3890" s="132"/>
    </row>
    <row r="3891" spans="1:8" s="307" customFormat="1" ht="15.75" outlineLevel="2">
      <c r="A3891" s="494"/>
      <c r="B3891" s="494"/>
      <c r="C3891" s="648">
        <v>2210503</v>
      </c>
      <c r="D3891" s="649" t="s">
        <v>31</v>
      </c>
      <c r="E3891" s="650">
        <v>300000</v>
      </c>
      <c r="F3891" s="597">
        <f t="shared" ref="F3891:G3891" si="2943">E3891*1.1</f>
        <v>330000</v>
      </c>
      <c r="G3891" s="597">
        <f t="shared" si="2943"/>
        <v>363000.00000000006</v>
      </c>
      <c r="H3891" s="132"/>
    </row>
    <row r="3892" spans="1:8" s="307" customFormat="1" ht="45" outlineLevel="2">
      <c r="A3892" s="494"/>
      <c r="B3892" s="494"/>
      <c r="C3892" s="448">
        <v>2210505</v>
      </c>
      <c r="D3892" s="449" t="s">
        <v>1032</v>
      </c>
      <c r="E3892" s="651">
        <v>1200000</v>
      </c>
      <c r="F3892" s="597">
        <f t="shared" ref="F3892:G3892" si="2944">E3892*1.1</f>
        <v>1320000</v>
      </c>
      <c r="G3892" s="597">
        <f t="shared" si="2944"/>
        <v>1452000.0000000002</v>
      </c>
      <c r="H3892" s="132"/>
    </row>
    <row r="3893" spans="1:8" s="307" customFormat="1" ht="15.75" outlineLevel="2">
      <c r="A3893" s="494"/>
      <c r="B3893" s="494"/>
      <c r="C3893" s="648">
        <v>2210504</v>
      </c>
      <c r="D3893" s="649" t="s">
        <v>32</v>
      </c>
      <c r="E3893" s="650">
        <v>250000</v>
      </c>
      <c r="F3893" s="597">
        <f t="shared" ref="F3893:G3893" si="2945">E3893*1.1</f>
        <v>275000</v>
      </c>
      <c r="G3893" s="597">
        <f t="shared" si="2945"/>
        <v>302500</v>
      </c>
      <c r="H3893" s="132"/>
    </row>
    <row r="3894" spans="1:8" s="307" customFormat="1" ht="15.75" outlineLevel="2">
      <c r="A3894" s="494"/>
      <c r="B3894" s="494"/>
      <c r="C3894" s="646">
        <v>2210700</v>
      </c>
      <c r="D3894" s="647" t="s">
        <v>34</v>
      </c>
      <c r="E3894" s="642">
        <f>E3895+E3896+E3897+E3898</f>
        <v>1600000</v>
      </c>
      <c r="F3894" s="597">
        <f t="shared" ref="F3894:G3894" si="2946">E3894*1.1</f>
        <v>1760000.0000000002</v>
      </c>
      <c r="G3894" s="597">
        <f t="shared" si="2946"/>
        <v>1936000.0000000005</v>
      </c>
      <c r="H3894" s="132"/>
    </row>
    <row r="3895" spans="1:8" s="307" customFormat="1" ht="15.75" outlineLevel="2">
      <c r="A3895" s="494"/>
      <c r="B3895" s="494"/>
      <c r="C3895" s="648">
        <v>2210701</v>
      </c>
      <c r="D3895" s="649" t="s">
        <v>210</v>
      </c>
      <c r="E3895" s="650">
        <v>300000</v>
      </c>
      <c r="F3895" s="597">
        <f t="shared" ref="F3895:G3895" si="2947">E3895*1.1</f>
        <v>330000</v>
      </c>
      <c r="G3895" s="597">
        <f t="shared" si="2947"/>
        <v>363000.00000000006</v>
      </c>
      <c r="H3895" s="132"/>
    </row>
    <row r="3896" spans="1:8" s="307" customFormat="1" ht="15.75" outlineLevel="2">
      <c r="A3896" s="494"/>
      <c r="B3896" s="494"/>
      <c r="C3896" s="648">
        <v>2210704</v>
      </c>
      <c r="D3896" s="649" t="s">
        <v>37</v>
      </c>
      <c r="E3896" s="650">
        <v>300000</v>
      </c>
      <c r="F3896" s="597">
        <f t="shared" ref="F3896:G3896" si="2948">E3896*1.1</f>
        <v>330000</v>
      </c>
      <c r="G3896" s="597">
        <f t="shared" si="2948"/>
        <v>363000.00000000006</v>
      </c>
      <c r="H3896" s="132"/>
    </row>
    <row r="3897" spans="1:8" s="307" customFormat="1" ht="15.75" outlineLevel="2">
      <c r="A3897" s="494"/>
      <c r="B3897" s="494"/>
      <c r="C3897" s="648">
        <v>2210710</v>
      </c>
      <c r="D3897" s="649" t="s">
        <v>449</v>
      </c>
      <c r="E3897" s="650">
        <v>300000</v>
      </c>
      <c r="F3897" s="597">
        <f t="shared" ref="F3897:G3897" si="2949">E3897*1.1</f>
        <v>330000</v>
      </c>
      <c r="G3897" s="597">
        <f t="shared" si="2949"/>
        <v>363000.00000000006</v>
      </c>
      <c r="H3897" s="132"/>
    </row>
    <row r="3898" spans="1:8" s="307" customFormat="1" ht="15.75" outlineLevel="2">
      <c r="A3898" s="494"/>
      <c r="B3898" s="494"/>
      <c r="C3898" s="648">
        <v>2210715</v>
      </c>
      <c r="D3898" s="649" t="s">
        <v>39</v>
      </c>
      <c r="E3898" s="650">
        <v>700000</v>
      </c>
      <c r="F3898" s="597">
        <f t="shared" ref="F3898:G3898" si="2950">E3898*1.1</f>
        <v>770000.00000000012</v>
      </c>
      <c r="G3898" s="597">
        <f t="shared" si="2950"/>
        <v>847000.00000000023</v>
      </c>
      <c r="H3898" s="132"/>
    </row>
    <row r="3899" spans="1:8" s="307" customFormat="1" ht="15.75" outlineLevel="2">
      <c r="A3899" s="494"/>
      <c r="B3899" s="494"/>
      <c r="C3899" s="646">
        <v>2210800</v>
      </c>
      <c r="D3899" s="647" t="s">
        <v>41</v>
      </c>
      <c r="E3899" s="642">
        <f>E3900</f>
        <v>500000</v>
      </c>
      <c r="F3899" s="597">
        <f t="shared" ref="F3899:G3899" si="2951">E3899*1.1</f>
        <v>550000</v>
      </c>
      <c r="G3899" s="597">
        <f t="shared" si="2951"/>
        <v>605000</v>
      </c>
      <c r="H3899" s="132"/>
    </row>
    <row r="3900" spans="1:8" s="307" customFormat="1" ht="45" outlineLevel="2">
      <c r="A3900" s="494"/>
      <c r="B3900" s="494"/>
      <c r="C3900" s="648">
        <v>2210801</v>
      </c>
      <c r="D3900" s="649" t="s">
        <v>1033</v>
      </c>
      <c r="E3900" s="650">
        <v>500000</v>
      </c>
      <c r="F3900" s="597">
        <f t="shared" ref="F3900:G3900" si="2952">E3900*1.1</f>
        <v>550000</v>
      </c>
      <c r="G3900" s="597">
        <f t="shared" si="2952"/>
        <v>605000</v>
      </c>
      <c r="H3900" s="132"/>
    </row>
    <row r="3901" spans="1:8" s="307" customFormat="1" ht="15.75" outlineLevel="2">
      <c r="A3901" s="494"/>
      <c r="B3901" s="494"/>
      <c r="C3901" s="646">
        <v>2211100</v>
      </c>
      <c r="D3901" s="647" t="s">
        <v>49</v>
      </c>
      <c r="E3901" s="642">
        <f>SUM(E3902:E3906)</f>
        <v>5000000</v>
      </c>
      <c r="F3901" s="597">
        <f t="shared" ref="F3901:G3901" si="2953">E3901*1.1</f>
        <v>5500000</v>
      </c>
      <c r="G3901" s="597">
        <f t="shared" si="2953"/>
        <v>6050000.0000000009</v>
      </c>
      <c r="H3901" s="132"/>
    </row>
    <row r="3902" spans="1:8" s="307" customFormat="1" ht="15.75" outlineLevel="2">
      <c r="A3902" s="494"/>
      <c r="B3902" s="494"/>
      <c r="C3902" s="648">
        <v>2211101</v>
      </c>
      <c r="D3902" s="649" t="s">
        <v>1034</v>
      </c>
      <c r="E3902" s="650">
        <v>2800000</v>
      </c>
      <c r="F3902" s="597">
        <f t="shared" ref="F3902:G3902" si="2954">E3902*1.1</f>
        <v>3080000.0000000005</v>
      </c>
      <c r="G3902" s="597">
        <f t="shared" si="2954"/>
        <v>3388000.0000000009</v>
      </c>
      <c r="H3902" s="132"/>
    </row>
    <row r="3903" spans="1:8" s="307" customFormat="1" ht="30" outlineLevel="2">
      <c r="A3903" s="494"/>
      <c r="B3903" s="494"/>
      <c r="C3903" s="648">
        <v>2211101</v>
      </c>
      <c r="D3903" s="649" t="s">
        <v>1035</v>
      </c>
      <c r="E3903" s="650">
        <v>600000</v>
      </c>
      <c r="F3903" s="597">
        <f t="shared" ref="F3903:G3903" si="2955">E3903*1.1</f>
        <v>660000</v>
      </c>
      <c r="G3903" s="597">
        <f t="shared" si="2955"/>
        <v>726000.00000000012</v>
      </c>
      <c r="H3903" s="132"/>
    </row>
    <row r="3904" spans="1:8" s="307" customFormat="1" ht="30" outlineLevel="2">
      <c r="A3904" s="494"/>
      <c r="B3904" s="494"/>
      <c r="C3904" s="648">
        <v>2211102</v>
      </c>
      <c r="D3904" s="649" t="s">
        <v>1036</v>
      </c>
      <c r="E3904" s="650">
        <v>900000</v>
      </c>
      <c r="F3904" s="597">
        <f t="shared" ref="F3904:G3904" si="2956">E3904*1.1</f>
        <v>990000.00000000012</v>
      </c>
      <c r="G3904" s="597">
        <f t="shared" si="2956"/>
        <v>1089000.0000000002</v>
      </c>
      <c r="H3904" s="132"/>
    </row>
    <row r="3905" spans="1:8" s="307" customFormat="1" ht="15.75" outlineLevel="2">
      <c r="A3905" s="494"/>
      <c r="B3905" s="494"/>
      <c r="C3905" s="325">
        <v>2211016</v>
      </c>
      <c r="D3905" s="332" t="s">
        <v>89</v>
      </c>
      <c r="E3905" s="390">
        <v>500000</v>
      </c>
      <c r="F3905" s="597">
        <f t="shared" ref="F3905:G3905" si="2957">E3905*1.1</f>
        <v>550000</v>
      </c>
      <c r="G3905" s="597">
        <f t="shared" si="2957"/>
        <v>605000</v>
      </c>
      <c r="H3905" s="132"/>
    </row>
    <row r="3906" spans="1:8" s="307" customFormat="1" ht="15.75" outlineLevel="2">
      <c r="A3906" s="494"/>
      <c r="B3906" s="494"/>
      <c r="C3906" s="648">
        <v>2211103</v>
      </c>
      <c r="D3906" s="649" t="s">
        <v>52</v>
      </c>
      <c r="E3906" s="650">
        <v>200000</v>
      </c>
      <c r="F3906" s="597">
        <f t="shared" ref="F3906:G3906" si="2958">E3906*1.1</f>
        <v>220000.00000000003</v>
      </c>
      <c r="G3906" s="597">
        <f t="shared" si="2958"/>
        <v>242000.00000000006</v>
      </c>
      <c r="H3906" s="132"/>
    </row>
    <row r="3907" spans="1:8" s="307" customFormat="1" ht="15.75" outlineLevel="2">
      <c r="A3907" s="494"/>
      <c r="B3907" s="494"/>
      <c r="C3907" s="646">
        <v>2211300</v>
      </c>
      <c r="D3907" s="647" t="s">
        <v>55</v>
      </c>
      <c r="E3907" s="642">
        <f>E3908</f>
        <v>100000</v>
      </c>
      <c r="F3907" s="597">
        <f t="shared" ref="F3907:G3907" si="2959">E3907*1.1</f>
        <v>110000.00000000001</v>
      </c>
      <c r="G3907" s="597">
        <f t="shared" si="2959"/>
        <v>121000.00000000003</v>
      </c>
      <c r="H3907" s="132"/>
    </row>
    <row r="3908" spans="1:8" s="307" customFormat="1" ht="30" outlineLevel="2">
      <c r="A3908" s="494"/>
      <c r="B3908" s="494"/>
      <c r="C3908" s="648">
        <v>2211306</v>
      </c>
      <c r="D3908" s="649" t="s">
        <v>57</v>
      </c>
      <c r="E3908" s="650">
        <v>100000</v>
      </c>
      <c r="F3908" s="597">
        <f t="shared" ref="F3908:G3908" si="2960">E3908*1.1</f>
        <v>110000.00000000001</v>
      </c>
      <c r="G3908" s="597">
        <f t="shared" si="2960"/>
        <v>121000.00000000003</v>
      </c>
      <c r="H3908" s="132"/>
    </row>
    <row r="3909" spans="1:8" s="307" customFormat="1" ht="15.75" outlineLevel="2">
      <c r="A3909" s="494"/>
      <c r="B3909" s="494"/>
      <c r="C3909" s="646">
        <v>2211200</v>
      </c>
      <c r="D3909" s="647" t="s">
        <v>53</v>
      </c>
      <c r="E3909" s="642">
        <f>E3910</f>
        <v>1600000</v>
      </c>
      <c r="F3909" s="597">
        <f t="shared" ref="F3909:G3909" si="2961">E3909*1.1</f>
        <v>1760000.0000000002</v>
      </c>
      <c r="G3909" s="597">
        <f t="shared" si="2961"/>
        <v>1936000.0000000005</v>
      </c>
      <c r="H3909" s="132"/>
    </row>
    <row r="3910" spans="1:8" s="307" customFormat="1" ht="15.75" outlineLevel="2">
      <c r="A3910" s="494"/>
      <c r="B3910" s="494"/>
      <c r="C3910" s="648">
        <v>2211201</v>
      </c>
      <c r="D3910" s="649" t="s">
        <v>91</v>
      </c>
      <c r="E3910" s="650">
        <v>1600000</v>
      </c>
      <c r="F3910" s="597">
        <f t="shared" ref="F3910:G3910" si="2962">E3910*1.1</f>
        <v>1760000.0000000002</v>
      </c>
      <c r="G3910" s="597">
        <f t="shared" si="2962"/>
        <v>1936000.0000000005</v>
      </c>
      <c r="H3910" s="132"/>
    </row>
    <row r="3911" spans="1:8" s="307" customFormat="1" ht="30" outlineLevel="2">
      <c r="A3911" s="494"/>
      <c r="B3911" s="494"/>
      <c r="C3911" s="646">
        <v>2220100</v>
      </c>
      <c r="D3911" s="647" t="s">
        <v>61</v>
      </c>
      <c r="E3911" s="642">
        <f>SUM(E3912:E3913)</f>
        <v>1000000</v>
      </c>
      <c r="F3911" s="597">
        <f t="shared" ref="F3911:G3911" si="2963">E3911*1.1</f>
        <v>1100000</v>
      </c>
      <c r="G3911" s="597">
        <f t="shared" si="2963"/>
        <v>1210000</v>
      </c>
      <c r="H3911" s="132"/>
    </row>
    <row r="3912" spans="1:8" s="307" customFormat="1" ht="15.75" outlineLevel="2">
      <c r="A3912" s="494"/>
      <c r="B3912" s="494"/>
      <c r="C3912" s="648">
        <v>2220101</v>
      </c>
      <c r="D3912" s="649" t="s">
        <v>441</v>
      </c>
      <c r="E3912" s="650">
        <v>500000</v>
      </c>
      <c r="F3912" s="597">
        <f t="shared" ref="F3912:G3912" si="2964">E3912*1.1</f>
        <v>550000</v>
      </c>
      <c r="G3912" s="597">
        <f t="shared" si="2964"/>
        <v>605000</v>
      </c>
      <c r="H3912" s="132"/>
    </row>
    <row r="3913" spans="1:8" s="307" customFormat="1" ht="15.75" outlineLevel="2">
      <c r="A3913" s="494"/>
      <c r="B3913" s="494"/>
      <c r="C3913" s="648">
        <v>2220105</v>
      </c>
      <c r="D3913" s="649" t="s">
        <v>225</v>
      </c>
      <c r="E3913" s="650">
        <v>500000</v>
      </c>
      <c r="F3913" s="597">
        <f t="shared" ref="F3913:G3913" si="2965">E3913*1.1</f>
        <v>550000</v>
      </c>
      <c r="G3913" s="597">
        <f t="shared" si="2965"/>
        <v>605000</v>
      </c>
      <c r="H3913" s="132"/>
    </row>
    <row r="3914" spans="1:8" s="307" customFormat="1" ht="15.75" outlineLevel="2">
      <c r="A3914" s="494"/>
      <c r="B3914" s="494"/>
      <c r="C3914" s="646">
        <v>2220200</v>
      </c>
      <c r="D3914" s="647" t="s">
        <v>179</v>
      </c>
      <c r="E3914" s="642">
        <f>E3915+E3916</f>
        <v>2900000</v>
      </c>
      <c r="F3914" s="597">
        <f t="shared" ref="F3914:G3914" si="2966">E3914*1.1</f>
        <v>3190000.0000000005</v>
      </c>
      <c r="G3914" s="597">
        <f t="shared" si="2966"/>
        <v>3509000.0000000009</v>
      </c>
      <c r="H3914" s="132"/>
    </row>
    <row r="3915" spans="1:8" s="307" customFormat="1" ht="60" outlineLevel="2">
      <c r="A3915" s="494"/>
      <c r="B3915" s="494"/>
      <c r="C3915" s="437">
        <v>2220205</v>
      </c>
      <c r="D3915" s="494" t="s">
        <v>1037</v>
      </c>
      <c r="E3915" s="651">
        <v>2500000</v>
      </c>
      <c r="F3915" s="597">
        <f t="shared" ref="F3915:G3915" si="2967">E3915*1.1</f>
        <v>2750000</v>
      </c>
      <c r="G3915" s="597">
        <f t="shared" si="2967"/>
        <v>3025000.0000000005</v>
      </c>
      <c r="H3915" s="132"/>
    </row>
    <row r="3916" spans="1:8" s="307" customFormat="1" ht="15.75" outlineLevel="2">
      <c r="A3916" s="494"/>
      <c r="B3916" s="494"/>
      <c r="C3916" s="648">
        <v>2220210</v>
      </c>
      <c r="D3916" s="649" t="s">
        <v>181</v>
      </c>
      <c r="E3916" s="650">
        <v>400000</v>
      </c>
      <c r="F3916" s="597">
        <f t="shared" ref="F3916:G3916" si="2968">E3916*1.1</f>
        <v>440000.00000000006</v>
      </c>
      <c r="G3916" s="597">
        <f t="shared" si="2968"/>
        <v>484000.00000000012</v>
      </c>
      <c r="H3916" s="132"/>
    </row>
    <row r="3917" spans="1:8" s="307" customFormat="1" ht="15.75" outlineLevel="1">
      <c r="A3917" s="492"/>
      <c r="B3917" s="492"/>
      <c r="C3917" s="646" t="s">
        <v>1038</v>
      </c>
      <c r="D3917" s="647" t="s">
        <v>1039</v>
      </c>
      <c r="E3917" s="642">
        <f>SUM(E3914,E3911,E3909,E3907,E3901,E3899,E3894,E3889,E3885,E3881,E3878,E3876)</f>
        <v>84219093.519999996</v>
      </c>
      <c r="F3917" s="597">
        <f t="shared" ref="F3917:G3917" si="2969">E3917*1.1</f>
        <v>92641002.872000009</v>
      </c>
      <c r="G3917" s="597">
        <f t="shared" si="2969"/>
        <v>101905103.15920001</v>
      </c>
      <c r="H3917" s="132"/>
    </row>
    <row r="3918" spans="1:8" s="307" customFormat="1" ht="15.75" outlineLevel="1">
      <c r="A3918" s="494"/>
      <c r="B3918" s="494"/>
      <c r="C3918" s="643" t="s">
        <v>444</v>
      </c>
      <c r="D3918" s="644"/>
      <c r="E3918" s="642">
        <f>E3914+E3911+E3909+E3907+E3901+E3899+E3894+E3885+E3889+E3881+E3878+E3876</f>
        <v>84219093.519999996</v>
      </c>
      <c r="F3918" s="597">
        <f t="shared" ref="F3918:G3918" si="2970">E3918*1.1</f>
        <v>92641002.872000009</v>
      </c>
      <c r="G3918" s="597">
        <f t="shared" si="2970"/>
        <v>101905103.15920001</v>
      </c>
      <c r="H3918" s="132"/>
    </row>
    <row r="3919" spans="1:8" s="307" customFormat="1" ht="15.75" outlineLevel="1">
      <c r="A3919" s="494"/>
      <c r="B3919" s="494"/>
      <c r="C3919" s="643" t="s">
        <v>444</v>
      </c>
      <c r="D3919" s="644"/>
      <c r="E3919" s="642">
        <f>E3918</f>
        <v>84219093.519999996</v>
      </c>
      <c r="F3919" s="597">
        <f t="shared" ref="F3919:G3919" si="2971">E3919*1.1</f>
        <v>92641002.872000009</v>
      </c>
      <c r="G3919" s="597">
        <f t="shared" si="2971"/>
        <v>101905103.15920001</v>
      </c>
      <c r="H3919" s="132"/>
    </row>
    <row r="3920" spans="1:8" s="307" customFormat="1" ht="15.75" outlineLevel="1">
      <c r="A3920" s="494"/>
      <c r="B3920" s="494"/>
      <c r="C3920" s="643"/>
      <c r="D3920" s="644"/>
      <c r="E3920" s="642"/>
      <c r="F3920" s="597">
        <f t="shared" ref="F3920:G3920" si="2972">E3920*1.1</f>
        <v>0</v>
      </c>
      <c r="G3920" s="597">
        <f t="shared" si="2972"/>
        <v>0</v>
      </c>
      <c r="H3920" s="132"/>
    </row>
    <row r="3921" spans="1:8" s="307" customFormat="1" ht="15.75" outlineLevel="1">
      <c r="A3921" s="494"/>
      <c r="B3921" s="494"/>
      <c r="C3921" s="643"/>
      <c r="D3921" s="644"/>
      <c r="E3921" s="642"/>
      <c r="F3921" s="597">
        <f t="shared" ref="F3921:G3921" si="2973">E3921*1.1</f>
        <v>0</v>
      </c>
      <c r="G3921" s="597">
        <f t="shared" si="2973"/>
        <v>0</v>
      </c>
      <c r="H3921" s="132"/>
    </row>
    <row r="3922" spans="1:8" s="307" customFormat="1" ht="15.75" outlineLevel="1">
      <c r="A3922" s="494"/>
      <c r="B3922" s="494"/>
      <c r="C3922" s="353" t="s">
        <v>1040</v>
      </c>
      <c r="D3922" s="652"/>
      <c r="E3922" s="651"/>
      <c r="F3922" s="597">
        <f t="shared" ref="F3922:G3922" si="2974">E3922*1.1</f>
        <v>0</v>
      </c>
      <c r="G3922" s="597">
        <f t="shared" si="2974"/>
        <v>0</v>
      </c>
      <c r="H3922" s="132"/>
    </row>
    <row r="3923" spans="1:8" s="307" customFormat="1" ht="15.75" outlineLevel="1">
      <c r="A3923" s="494"/>
      <c r="B3923" s="494"/>
      <c r="C3923" s="443" t="s">
        <v>1041</v>
      </c>
      <c r="D3923" s="492"/>
      <c r="E3923" s="651"/>
      <c r="F3923" s="597">
        <f t="shared" ref="F3923:G3923" si="2975">E3923*1.1</f>
        <v>0</v>
      </c>
      <c r="G3923" s="597">
        <f t="shared" si="2975"/>
        <v>0</v>
      </c>
      <c r="H3923" s="132"/>
    </row>
    <row r="3924" spans="1:8" s="307" customFormat="1" ht="15.75" outlineLevel="1">
      <c r="A3924" s="494"/>
      <c r="B3924" s="494"/>
      <c r="C3924" s="443" t="s">
        <v>1042</v>
      </c>
      <c r="D3924" s="492"/>
      <c r="E3924" s="651"/>
      <c r="F3924" s="597">
        <f t="shared" ref="F3924:G3924" si="2976">E3924*1.1</f>
        <v>0</v>
      </c>
      <c r="G3924" s="597">
        <f t="shared" si="2976"/>
        <v>0</v>
      </c>
      <c r="H3924" s="132"/>
    </row>
    <row r="3925" spans="1:8" s="307" customFormat="1" ht="15.75" outlineLevel="2">
      <c r="A3925" s="494"/>
      <c r="B3925" s="494"/>
      <c r="C3925" s="646">
        <v>2210200</v>
      </c>
      <c r="D3925" s="647" t="s">
        <v>19</v>
      </c>
      <c r="E3925" s="642">
        <f>SUM(E3926:E3927)</f>
        <v>90000</v>
      </c>
      <c r="F3925" s="597">
        <f t="shared" ref="F3925:G3925" si="2977">E3925*1.1</f>
        <v>99000.000000000015</v>
      </c>
      <c r="G3925" s="597">
        <f t="shared" si="2977"/>
        <v>108900.00000000003</v>
      </c>
      <c r="H3925" s="132"/>
    </row>
    <row r="3926" spans="1:8" s="307" customFormat="1" ht="15.75" outlineLevel="2">
      <c r="A3926" s="494"/>
      <c r="B3926" s="494"/>
      <c r="C3926" s="648">
        <v>2210201</v>
      </c>
      <c r="D3926" s="649" t="s">
        <v>236</v>
      </c>
      <c r="E3926" s="650">
        <v>50000</v>
      </c>
      <c r="F3926" s="597">
        <f t="shared" ref="F3926:G3926" si="2978">E3926*1.1</f>
        <v>55000.000000000007</v>
      </c>
      <c r="G3926" s="597">
        <f t="shared" si="2978"/>
        <v>60500.000000000015</v>
      </c>
      <c r="H3926" s="132"/>
    </row>
    <row r="3927" spans="1:8" s="307" customFormat="1" ht="15.75" outlineLevel="2">
      <c r="A3927" s="494"/>
      <c r="B3927" s="494"/>
      <c r="C3927" s="648">
        <v>2210203</v>
      </c>
      <c r="D3927" s="649" t="s">
        <v>22</v>
      </c>
      <c r="E3927" s="650">
        <v>40000</v>
      </c>
      <c r="F3927" s="597">
        <f t="shared" ref="F3927:G3927" si="2979">E3927*1.1</f>
        <v>44000</v>
      </c>
      <c r="G3927" s="597">
        <f t="shared" si="2979"/>
        <v>48400.000000000007</v>
      </c>
      <c r="H3927" s="132"/>
    </row>
    <row r="3928" spans="1:8" s="307" customFormat="1" ht="30" outlineLevel="2">
      <c r="A3928" s="494"/>
      <c r="B3928" s="494"/>
      <c r="C3928" s="484">
        <v>2210300</v>
      </c>
      <c r="D3928" s="653" t="s">
        <v>23</v>
      </c>
      <c r="E3928" s="654">
        <f>SUM(E3929:E3929)</f>
        <v>333333.33</v>
      </c>
      <c r="F3928" s="597">
        <f t="shared" ref="F3928:G3928" si="2980">E3928*1.1</f>
        <v>366666.66300000006</v>
      </c>
      <c r="G3928" s="597">
        <f t="shared" si="2980"/>
        <v>403333.3293000001</v>
      </c>
      <c r="H3928" s="132"/>
    </row>
    <row r="3929" spans="1:8" s="307" customFormat="1" ht="15.75" outlineLevel="2">
      <c r="A3929" s="494"/>
      <c r="B3929" s="494"/>
      <c r="C3929" s="648">
        <v>2210303</v>
      </c>
      <c r="D3929" s="649" t="s">
        <v>259</v>
      </c>
      <c r="E3929" s="651">
        <v>333333.33</v>
      </c>
      <c r="F3929" s="597">
        <f t="shared" ref="F3929:G3929" si="2981">E3929*1.1</f>
        <v>366666.66300000006</v>
      </c>
      <c r="G3929" s="597">
        <f t="shared" si="2981"/>
        <v>403333.3293000001</v>
      </c>
      <c r="H3929" s="132"/>
    </row>
    <row r="3930" spans="1:8" s="307" customFormat="1" ht="15.75" outlineLevel="2">
      <c r="A3930" s="494"/>
      <c r="B3930" s="494"/>
      <c r="C3930" s="646">
        <v>2210500</v>
      </c>
      <c r="D3930" s="647" t="s">
        <v>30</v>
      </c>
      <c r="E3930" s="642">
        <f>SUM(E3931:E3933)</f>
        <v>500000</v>
      </c>
      <c r="F3930" s="597">
        <f t="shared" ref="F3930:G3930" si="2982">E3930*1.1</f>
        <v>550000</v>
      </c>
      <c r="G3930" s="597">
        <f t="shared" si="2982"/>
        <v>605000</v>
      </c>
      <c r="H3930" s="132"/>
    </row>
    <row r="3931" spans="1:8" s="307" customFormat="1" ht="15.75" outlineLevel="2">
      <c r="A3931" s="494"/>
      <c r="B3931" s="494"/>
      <c r="C3931" s="648">
        <v>2210502</v>
      </c>
      <c r="D3931" s="649" t="s">
        <v>162</v>
      </c>
      <c r="E3931" s="650">
        <v>200000</v>
      </c>
      <c r="F3931" s="597">
        <f t="shared" ref="F3931:G3931" si="2983">E3931*1.1</f>
        <v>220000.00000000003</v>
      </c>
      <c r="G3931" s="597">
        <f t="shared" si="2983"/>
        <v>242000.00000000006</v>
      </c>
      <c r="H3931" s="132"/>
    </row>
    <row r="3932" spans="1:8" s="307" customFormat="1" ht="15.75" outlineLevel="2">
      <c r="A3932" s="494"/>
      <c r="B3932" s="494"/>
      <c r="C3932" s="648">
        <v>2210504</v>
      </c>
      <c r="D3932" s="649" t="s">
        <v>32</v>
      </c>
      <c r="E3932" s="650">
        <v>100000</v>
      </c>
      <c r="F3932" s="597">
        <f t="shared" ref="F3932:G3932" si="2984">E3932*1.1</f>
        <v>110000.00000000001</v>
      </c>
      <c r="G3932" s="597">
        <f t="shared" si="2984"/>
        <v>121000.00000000003</v>
      </c>
      <c r="H3932" s="132"/>
    </row>
    <row r="3933" spans="1:8" s="307" customFormat="1" ht="15.75" outlineLevel="2">
      <c r="A3933" s="494"/>
      <c r="B3933" s="494"/>
      <c r="C3933" s="648">
        <v>2210710</v>
      </c>
      <c r="D3933" s="649" t="s">
        <v>449</v>
      </c>
      <c r="E3933" s="650">
        <v>200000</v>
      </c>
      <c r="F3933" s="597">
        <f t="shared" ref="F3933:G3933" si="2985">E3933*1.1</f>
        <v>220000.00000000003</v>
      </c>
      <c r="G3933" s="597">
        <f t="shared" si="2985"/>
        <v>242000.00000000006</v>
      </c>
      <c r="H3933" s="132"/>
    </row>
    <row r="3934" spans="1:8" s="307" customFormat="1" ht="15.75" outlineLevel="2">
      <c r="A3934" s="494"/>
      <c r="B3934" s="494"/>
      <c r="C3934" s="484">
        <v>2210800</v>
      </c>
      <c r="D3934" s="653" t="s">
        <v>41</v>
      </c>
      <c r="E3934" s="654">
        <f>E3935</f>
        <v>300000</v>
      </c>
      <c r="F3934" s="597">
        <f t="shared" ref="F3934:G3934" si="2986">E3934*1.1</f>
        <v>330000</v>
      </c>
      <c r="G3934" s="597">
        <f t="shared" si="2986"/>
        <v>363000.00000000006</v>
      </c>
      <c r="H3934" s="132"/>
    </row>
    <row r="3935" spans="1:8" s="307" customFormat="1" ht="45" outlineLevel="2">
      <c r="A3935" s="494"/>
      <c r="B3935" s="494"/>
      <c r="C3935" s="648">
        <v>2210801</v>
      </c>
      <c r="D3935" s="649" t="s">
        <v>1033</v>
      </c>
      <c r="E3935" s="650">
        <v>300000</v>
      </c>
      <c r="F3935" s="597">
        <f t="shared" ref="F3935:G3935" si="2987">E3935*1.1</f>
        <v>330000</v>
      </c>
      <c r="G3935" s="597">
        <f t="shared" si="2987"/>
        <v>363000.00000000006</v>
      </c>
      <c r="H3935" s="132"/>
    </row>
    <row r="3936" spans="1:8" s="307" customFormat="1" ht="15.75" outlineLevel="2">
      <c r="A3936" s="494"/>
      <c r="B3936" s="494"/>
      <c r="C3936" s="646">
        <v>2211100</v>
      </c>
      <c r="D3936" s="647" t="s">
        <v>49</v>
      </c>
      <c r="E3936" s="642">
        <f>SUM(E3937:E3939)</f>
        <v>1750000</v>
      </c>
      <c r="F3936" s="597">
        <f t="shared" ref="F3936:G3936" si="2988">E3936*1.1</f>
        <v>1925000.0000000002</v>
      </c>
      <c r="G3936" s="597">
        <f t="shared" si="2988"/>
        <v>2117500.0000000005</v>
      </c>
      <c r="H3936" s="132"/>
    </row>
    <row r="3937" spans="1:8" s="307" customFormat="1" ht="30" outlineLevel="2">
      <c r="A3937" s="494"/>
      <c r="B3937" s="494"/>
      <c r="C3937" s="648">
        <v>2211101</v>
      </c>
      <c r="D3937" s="649" t="s">
        <v>1035</v>
      </c>
      <c r="E3937" s="650">
        <v>500000</v>
      </c>
      <c r="F3937" s="597">
        <f t="shared" ref="F3937:G3937" si="2989">E3937*1.1</f>
        <v>550000</v>
      </c>
      <c r="G3937" s="597">
        <f t="shared" si="2989"/>
        <v>605000</v>
      </c>
      <c r="H3937" s="132"/>
    </row>
    <row r="3938" spans="1:8" s="307" customFormat="1" ht="15.75" outlineLevel="2">
      <c r="A3938" s="494"/>
      <c r="B3938" s="494"/>
      <c r="C3938" s="648">
        <v>2211102</v>
      </c>
      <c r="D3938" s="649" t="s">
        <v>51</v>
      </c>
      <c r="E3938" s="650">
        <v>900000</v>
      </c>
      <c r="F3938" s="597">
        <f t="shared" ref="F3938:G3938" si="2990">E3938*1.1</f>
        <v>990000.00000000012</v>
      </c>
      <c r="G3938" s="597">
        <f t="shared" si="2990"/>
        <v>1089000.0000000002</v>
      </c>
      <c r="H3938" s="132"/>
    </row>
    <row r="3939" spans="1:8" s="307" customFormat="1" ht="15.75" outlineLevel="2">
      <c r="A3939" s="494"/>
      <c r="B3939" s="494"/>
      <c r="C3939" s="648">
        <v>2211103</v>
      </c>
      <c r="D3939" s="649" t="s">
        <v>52</v>
      </c>
      <c r="E3939" s="650">
        <v>350000</v>
      </c>
      <c r="F3939" s="597">
        <f t="shared" ref="F3939:G3939" si="2991">E3939*1.1</f>
        <v>385000.00000000006</v>
      </c>
      <c r="G3939" s="597">
        <f t="shared" si="2991"/>
        <v>423500.00000000012</v>
      </c>
      <c r="H3939" s="132"/>
    </row>
    <row r="3940" spans="1:8" s="307" customFormat="1" ht="15.75" outlineLevel="2">
      <c r="A3940" s="494"/>
      <c r="B3940" s="494"/>
      <c r="C3940" s="484">
        <v>2220200</v>
      </c>
      <c r="D3940" s="653" t="s">
        <v>179</v>
      </c>
      <c r="E3940" s="654">
        <f>E3941+E3942</f>
        <v>300000</v>
      </c>
      <c r="F3940" s="597">
        <f t="shared" ref="F3940:G3940" si="2992">E3940*1.1</f>
        <v>330000</v>
      </c>
      <c r="G3940" s="597">
        <f t="shared" si="2992"/>
        <v>363000.00000000006</v>
      </c>
      <c r="H3940" s="132"/>
    </row>
    <row r="3941" spans="1:8" s="307" customFormat="1" ht="15.75" outlineLevel="2">
      <c r="A3941" s="494"/>
      <c r="B3941" s="494"/>
      <c r="C3941" s="648">
        <v>2220210</v>
      </c>
      <c r="D3941" s="649" t="s">
        <v>181</v>
      </c>
      <c r="E3941" s="650">
        <v>100000</v>
      </c>
      <c r="F3941" s="597">
        <f t="shared" ref="F3941:G3941" si="2993">E3941*1.1</f>
        <v>110000.00000000001</v>
      </c>
      <c r="G3941" s="597">
        <f t="shared" si="2993"/>
        <v>121000.00000000003</v>
      </c>
      <c r="H3941" s="132"/>
    </row>
    <row r="3942" spans="1:8" s="307" customFormat="1" ht="15.75" outlineLevel="2">
      <c r="A3942" s="494"/>
      <c r="B3942" s="494"/>
      <c r="C3942" s="437">
        <v>2220204</v>
      </c>
      <c r="D3942" s="494" t="s">
        <v>1043</v>
      </c>
      <c r="E3942" s="651">
        <v>200000</v>
      </c>
      <c r="F3942" s="597">
        <f t="shared" ref="F3942:G3942" si="2994">E3942*1.1</f>
        <v>220000.00000000003</v>
      </c>
      <c r="G3942" s="597">
        <f t="shared" si="2994"/>
        <v>242000.00000000006</v>
      </c>
      <c r="H3942" s="132"/>
    </row>
    <row r="3943" spans="1:8" s="307" customFormat="1" ht="15.75" outlineLevel="1">
      <c r="A3943" s="494"/>
      <c r="B3943" s="494"/>
      <c r="C3943" s="469" t="s">
        <v>1044</v>
      </c>
      <c r="D3943" s="408"/>
      <c r="E3943" s="654">
        <f>E3940+E3936+E3934+E3930+E3928+E3925</f>
        <v>3273333.33</v>
      </c>
      <c r="F3943" s="597">
        <f t="shared" ref="F3943:G3943" si="2995">E3943*1.1</f>
        <v>3600666.6630000002</v>
      </c>
      <c r="G3943" s="597">
        <f t="shared" si="2995"/>
        <v>3960733.3293000003</v>
      </c>
      <c r="H3943" s="132"/>
    </row>
    <row r="3944" spans="1:8" s="307" customFormat="1" ht="15.75" outlineLevel="1">
      <c r="A3944" s="494"/>
      <c r="B3944" s="494"/>
      <c r="C3944" s="469" t="s">
        <v>80</v>
      </c>
      <c r="D3944" s="592"/>
      <c r="E3944" s="655">
        <f>E3943</f>
        <v>3273333.33</v>
      </c>
      <c r="F3944" s="597">
        <f t="shared" ref="F3944:G3944" si="2996">E3944*1.1</f>
        <v>3600666.6630000002</v>
      </c>
      <c r="G3944" s="597">
        <f t="shared" si="2996"/>
        <v>3960733.3293000003</v>
      </c>
      <c r="H3944" s="132"/>
    </row>
    <row r="3945" spans="1:8" s="307" customFormat="1" ht="15.75" outlineLevel="1">
      <c r="A3945" s="494"/>
      <c r="B3945" s="494"/>
      <c r="C3945" s="469"/>
      <c r="D3945" s="592"/>
      <c r="E3945" s="655"/>
      <c r="F3945" s="597">
        <f t="shared" ref="F3945:G3945" si="2997">E3945*1.1</f>
        <v>0</v>
      </c>
      <c r="G3945" s="597">
        <f t="shared" si="2997"/>
        <v>0</v>
      </c>
      <c r="H3945" s="132"/>
    </row>
    <row r="3946" spans="1:8" s="307" customFormat="1" ht="15.75" outlineLevel="1">
      <c r="A3946" s="494"/>
      <c r="B3946" s="494"/>
      <c r="C3946" s="469"/>
      <c r="D3946" s="592"/>
      <c r="E3946" s="655"/>
      <c r="F3946" s="597">
        <f t="shared" ref="F3946:G3946" si="2998">E3946*1.1</f>
        <v>0</v>
      </c>
      <c r="G3946" s="597">
        <f t="shared" si="2998"/>
        <v>0</v>
      </c>
      <c r="H3946" s="132"/>
    </row>
    <row r="3947" spans="1:8" s="307" customFormat="1" ht="15.75" outlineLevel="1">
      <c r="A3947" s="494"/>
      <c r="B3947" s="494"/>
      <c r="C3947" s="443" t="s">
        <v>1045</v>
      </c>
      <c r="D3947" s="492"/>
      <c r="E3947" s="645">
        <v>0</v>
      </c>
      <c r="F3947" s="597">
        <f t="shared" ref="F3947:G3947" si="2999">E3947*1.1</f>
        <v>0</v>
      </c>
      <c r="G3947" s="597">
        <f t="shared" si="2999"/>
        <v>0</v>
      </c>
      <c r="H3947" s="132"/>
    </row>
    <row r="3948" spans="1:8" s="307" customFormat="1" ht="15.75" outlineLevel="1">
      <c r="A3948" s="494"/>
      <c r="B3948" s="494"/>
      <c r="C3948" s="656" t="s">
        <v>1046</v>
      </c>
      <c r="D3948" s="657"/>
      <c r="E3948" s="645">
        <v>0</v>
      </c>
      <c r="F3948" s="597">
        <f t="shared" ref="F3948:G3948" si="3000">E3948*1.1</f>
        <v>0</v>
      </c>
      <c r="G3948" s="597">
        <f t="shared" si="3000"/>
        <v>0</v>
      </c>
      <c r="H3948" s="132"/>
    </row>
    <row r="3949" spans="1:8" s="307" customFormat="1" ht="15.75" outlineLevel="1">
      <c r="A3949" s="494"/>
      <c r="B3949" s="494"/>
      <c r="C3949" s="656" t="s">
        <v>1047</v>
      </c>
      <c r="D3949" s="657"/>
      <c r="E3949" s="645">
        <v>0</v>
      </c>
      <c r="F3949" s="597">
        <f t="shared" ref="F3949:G3949" si="3001">E3949*1.1</f>
        <v>0</v>
      </c>
      <c r="G3949" s="597">
        <f t="shared" si="3001"/>
        <v>0</v>
      </c>
      <c r="H3949" s="132"/>
    </row>
    <row r="3950" spans="1:8" s="307" customFormat="1" ht="15.75" outlineLevel="3">
      <c r="A3950" s="494"/>
      <c r="B3950" s="494"/>
      <c r="C3950" s="646">
        <v>2210200</v>
      </c>
      <c r="D3950" s="647" t="s">
        <v>19</v>
      </c>
      <c r="E3950" s="642">
        <f>SUM(E3951:E3953)</f>
        <v>250000</v>
      </c>
      <c r="F3950" s="597">
        <f t="shared" ref="F3950:G3950" si="3002">E3950*1.1</f>
        <v>275000</v>
      </c>
      <c r="G3950" s="597">
        <f t="shared" si="3002"/>
        <v>302500</v>
      </c>
      <c r="H3950" s="132"/>
    </row>
    <row r="3951" spans="1:8" s="307" customFormat="1" ht="15.75" outlineLevel="3">
      <c r="A3951" s="494"/>
      <c r="B3951" s="494"/>
      <c r="C3951" s="648">
        <v>2210201</v>
      </c>
      <c r="D3951" s="649" t="s">
        <v>236</v>
      </c>
      <c r="E3951" s="650">
        <v>100000</v>
      </c>
      <c r="F3951" s="597">
        <f t="shared" ref="F3951:G3951" si="3003">E3951*1.1</f>
        <v>110000.00000000001</v>
      </c>
      <c r="G3951" s="597">
        <f t="shared" si="3003"/>
        <v>121000.00000000003</v>
      </c>
      <c r="H3951" s="132"/>
    </row>
    <row r="3952" spans="1:8" s="307" customFormat="1" ht="15.75" outlineLevel="3">
      <c r="A3952" s="494"/>
      <c r="B3952" s="494"/>
      <c r="C3952" s="648">
        <v>2210202</v>
      </c>
      <c r="D3952" s="649" t="s">
        <v>439</v>
      </c>
      <c r="E3952" s="650">
        <v>100000</v>
      </c>
      <c r="F3952" s="597">
        <f t="shared" ref="F3952:G3952" si="3004">E3952*1.1</f>
        <v>110000.00000000001</v>
      </c>
      <c r="G3952" s="597">
        <f t="shared" si="3004"/>
        <v>121000.00000000003</v>
      </c>
      <c r="H3952" s="132"/>
    </row>
    <row r="3953" spans="1:8" s="307" customFormat="1" ht="15.75" outlineLevel="3">
      <c r="A3953" s="494"/>
      <c r="B3953" s="494"/>
      <c r="C3953" s="648">
        <v>2210203</v>
      </c>
      <c r="D3953" s="649" t="s">
        <v>22</v>
      </c>
      <c r="E3953" s="650">
        <v>50000</v>
      </c>
      <c r="F3953" s="597">
        <f t="shared" ref="F3953:G3953" si="3005">E3953*1.1</f>
        <v>55000.000000000007</v>
      </c>
      <c r="G3953" s="597">
        <f t="shared" si="3005"/>
        <v>60500.000000000015</v>
      </c>
      <c r="H3953" s="132"/>
    </row>
    <row r="3954" spans="1:8" s="307" customFormat="1" ht="30" outlineLevel="3">
      <c r="A3954" s="494"/>
      <c r="B3954" s="494"/>
      <c r="C3954" s="646">
        <v>2210300</v>
      </c>
      <c r="D3954" s="647" t="s">
        <v>23</v>
      </c>
      <c r="E3954" s="642">
        <f>SUM(E3955:E3957)</f>
        <v>997873.33000000007</v>
      </c>
      <c r="F3954" s="597">
        <f t="shared" ref="F3954:G3954" si="3006">E3954*1.1</f>
        <v>1097660.6630000002</v>
      </c>
      <c r="G3954" s="597">
        <f t="shared" si="3006"/>
        <v>1207426.7293000002</v>
      </c>
      <c r="H3954" s="132"/>
    </row>
    <row r="3955" spans="1:8" s="307" customFormat="1" ht="15.75" outlineLevel="3">
      <c r="A3955" s="494"/>
      <c r="B3955" s="494"/>
      <c r="C3955" s="648">
        <v>2210301</v>
      </c>
      <c r="D3955" s="649" t="s">
        <v>208</v>
      </c>
      <c r="E3955" s="650">
        <v>400000</v>
      </c>
      <c r="F3955" s="597">
        <f t="shared" ref="F3955:G3955" si="3007">E3955*1.1</f>
        <v>440000.00000000006</v>
      </c>
      <c r="G3955" s="597">
        <f t="shared" si="3007"/>
        <v>484000.00000000012</v>
      </c>
      <c r="H3955" s="132"/>
    </row>
    <row r="3956" spans="1:8" s="307" customFormat="1" ht="15.75" outlineLevel="3">
      <c r="A3956" s="494"/>
      <c r="B3956" s="494"/>
      <c r="C3956" s="648">
        <v>2210302</v>
      </c>
      <c r="D3956" s="649" t="s">
        <v>25</v>
      </c>
      <c r="E3956" s="650">
        <v>300000</v>
      </c>
      <c r="F3956" s="597">
        <f t="shared" ref="F3956:G3956" si="3008">E3956*1.1</f>
        <v>330000</v>
      </c>
      <c r="G3956" s="597">
        <f t="shared" si="3008"/>
        <v>363000.00000000006</v>
      </c>
      <c r="H3956" s="132"/>
    </row>
    <row r="3957" spans="1:8" s="307" customFormat="1" ht="15.75" outlineLevel="3">
      <c r="A3957" s="494"/>
      <c r="B3957" s="494"/>
      <c r="C3957" s="648">
        <v>2210303</v>
      </c>
      <c r="D3957" s="649" t="s">
        <v>259</v>
      </c>
      <c r="E3957" s="650">
        <v>297873.33</v>
      </c>
      <c r="F3957" s="597">
        <f t="shared" ref="F3957:G3957" si="3009">E3957*1.1</f>
        <v>327660.66300000006</v>
      </c>
      <c r="G3957" s="597">
        <f t="shared" si="3009"/>
        <v>360426.72930000012</v>
      </c>
      <c r="H3957" s="132"/>
    </row>
    <row r="3958" spans="1:8" s="307" customFormat="1" ht="15.75" outlineLevel="3">
      <c r="A3958" s="494"/>
      <c r="B3958" s="494"/>
      <c r="C3958" s="646">
        <v>2210500</v>
      </c>
      <c r="D3958" s="647" t="s">
        <v>30</v>
      </c>
      <c r="E3958" s="642">
        <f>SUM(E3959:E3961)</f>
        <v>550000</v>
      </c>
      <c r="F3958" s="597">
        <f t="shared" ref="F3958:G3958" si="3010">E3958*1.1</f>
        <v>605000</v>
      </c>
      <c r="G3958" s="597">
        <f t="shared" si="3010"/>
        <v>665500</v>
      </c>
      <c r="H3958" s="132"/>
    </row>
    <row r="3959" spans="1:8" s="307" customFormat="1" ht="15.75" outlineLevel="3">
      <c r="A3959" s="494"/>
      <c r="B3959" s="494"/>
      <c r="C3959" s="648">
        <v>2210502</v>
      </c>
      <c r="D3959" s="649" t="s">
        <v>162</v>
      </c>
      <c r="E3959" s="650">
        <v>200000</v>
      </c>
      <c r="F3959" s="597">
        <f t="shared" ref="F3959:G3959" si="3011">E3959*1.1</f>
        <v>220000.00000000003</v>
      </c>
      <c r="G3959" s="597">
        <f t="shared" si="3011"/>
        <v>242000.00000000006</v>
      </c>
      <c r="H3959" s="132"/>
    </row>
    <row r="3960" spans="1:8" s="307" customFormat="1" ht="15.75" outlineLevel="3">
      <c r="A3960" s="494"/>
      <c r="B3960" s="494"/>
      <c r="C3960" s="648">
        <v>2210503</v>
      </c>
      <c r="D3960" s="649" t="s">
        <v>31</v>
      </c>
      <c r="E3960" s="650">
        <v>50000</v>
      </c>
      <c r="F3960" s="597">
        <f t="shared" ref="F3960:G3960" si="3012">E3960*1.1</f>
        <v>55000.000000000007</v>
      </c>
      <c r="G3960" s="597">
        <f t="shared" si="3012"/>
        <v>60500.000000000015</v>
      </c>
      <c r="H3960" s="132"/>
    </row>
    <row r="3961" spans="1:8" s="307" customFormat="1" ht="15.75" outlineLevel="3">
      <c r="A3961" s="494"/>
      <c r="B3961" s="494"/>
      <c r="C3961" s="648">
        <v>2210504</v>
      </c>
      <c r="D3961" s="649" t="s">
        <v>32</v>
      </c>
      <c r="E3961" s="650">
        <v>300000</v>
      </c>
      <c r="F3961" s="597">
        <f t="shared" ref="F3961:G3961" si="3013">E3961*1.1</f>
        <v>330000</v>
      </c>
      <c r="G3961" s="597">
        <f t="shared" si="3013"/>
        <v>363000.00000000006</v>
      </c>
      <c r="H3961" s="132"/>
    </row>
    <row r="3962" spans="1:8" s="307" customFormat="1" ht="15.75" outlineLevel="3">
      <c r="A3962" s="494"/>
      <c r="B3962" s="494"/>
      <c r="C3962" s="646">
        <v>2210700</v>
      </c>
      <c r="D3962" s="647" t="s">
        <v>34</v>
      </c>
      <c r="E3962" s="642">
        <f>SUM(E3963:E3965)</f>
        <v>400000</v>
      </c>
      <c r="F3962" s="597">
        <f t="shared" ref="F3962:G3962" si="3014">E3962*1.1</f>
        <v>440000.00000000006</v>
      </c>
      <c r="G3962" s="597">
        <f t="shared" si="3014"/>
        <v>484000.00000000012</v>
      </c>
      <c r="H3962" s="132"/>
    </row>
    <row r="3963" spans="1:8" s="307" customFormat="1" ht="15.75" outlineLevel="3">
      <c r="A3963" s="494"/>
      <c r="B3963" s="494"/>
      <c r="C3963" s="648">
        <v>2210701</v>
      </c>
      <c r="D3963" s="649" t="s">
        <v>210</v>
      </c>
      <c r="E3963" s="650">
        <v>200000</v>
      </c>
      <c r="F3963" s="597">
        <f t="shared" ref="F3963:G3963" si="3015">E3963*1.1</f>
        <v>220000.00000000003</v>
      </c>
      <c r="G3963" s="597">
        <f t="shared" si="3015"/>
        <v>242000.00000000006</v>
      </c>
      <c r="H3963" s="132"/>
    </row>
    <row r="3964" spans="1:8" s="307" customFormat="1" ht="15.75" outlineLevel="3">
      <c r="A3964" s="494"/>
      <c r="B3964" s="494"/>
      <c r="C3964" s="648">
        <v>2210704</v>
      </c>
      <c r="D3964" s="649" t="s">
        <v>37</v>
      </c>
      <c r="E3964" s="650">
        <v>50000</v>
      </c>
      <c r="F3964" s="597">
        <f t="shared" ref="F3964:G3964" si="3016">E3964*1.1</f>
        <v>55000.000000000007</v>
      </c>
      <c r="G3964" s="597">
        <f t="shared" si="3016"/>
        <v>60500.000000000015</v>
      </c>
      <c r="H3964" s="132"/>
    </row>
    <row r="3965" spans="1:8" s="307" customFormat="1" ht="15.75" outlineLevel="3">
      <c r="A3965" s="494"/>
      <c r="B3965" s="494"/>
      <c r="C3965" s="648">
        <v>2210710</v>
      </c>
      <c r="D3965" s="649" t="s">
        <v>449</v>
      </c>
      <c r="E3965" s="650">
        <v>150000</v>
      </c>
      <c r="F3965" s="597">
        <f t="shared" ref="F3965:G3965" si="3017">E3965*1.1</f>
        <v>165000</v>
      </c>
      <c r="G3965" s="597">
        <f t="shared" si="3017"/>
        <v>181500.00000000003</v>
      </c>
      <c r="H3965" s="132"/>
    </row>
    <row r="3966" spans="1:8" s="307" customFormat="1" ht="15.75" outlineLevel="3">
      <c r="A3966" s="494"/>
      <c r="B3966" s="494"/>
      <c r="C3966" s="646">
        <v>2210800</v>
      </c>
      <c r="D3966" s="644" t="s">
        <v>41</v>
      </c>
      <c r="E3966" s="642">
        <f>SUM(E3967:E3967)</f>
        <v>150000</v>
      </c>
      <c r="F3966" s="597">
        <f t="shared" ref="F3966:G3966" si="3018">E3966*1.1</f>
        <v>165000</v>
      </c>
      <c r="G3966" s="597">
        <f t="shared" si="3018"/>
        <v>181500.00000000003</v>
      </c>
      <c r="H3966" s="132"/>
    </row>
    <row r="3967" spans="1:8" s="307" customFormat="1" ht="45" outlineLevel="3">
      <c r="A3967" s="494"/>
      <c r="B3967" s="494"/>
      <c r="C3967" s="648">
        <v>2210801</v>
      </c>
      <c r="D3967" s="649" t="s">
        <v>1033</v>
      </c>
      <c r="E3967" s="650">
        <v>150000</v>
      </c>
      <c r="F3967" s="597">
        <f t="shared" ref="F3967:G3967" si="3019">E3967*1.1</f>
        <v>165000</v>
      </c>
      <c r="G3967" s="597">
        <f t="shared" si="3019"/>
        <v>181500.00000000003</v>
      </c>
      <c r="H3967" s="132"/>
    </row>
    <row r="3968" spans="1:8" s="307" customFormat="1" ht="15.75" outlineLevel="3">
      <c r="A3968" s="494"/>
      <c r="B3968" s="494"/>
      <c r="C3968" s="646">
        <v>2211100</v>
      </c>
      <c r="D3968" s="647" t="s">
        <v>49</v>
      </c>
      <c r="E3968" s="642">
        <f>SUM(E3969:E3971)</f>
        <v>1450000</v>
      </c>
      <c r="F3968" s="597">
        <f t="shared" ref="F3968:G3968" si="3020">E3968*1.1</f>
        <v>1595000.0000000002</v>
      </c>
      <c r="G3968" s="597">
        <f t="shared" si="3020"/>
        <v>1754500.0000000005</v>
      </c>
      <c r="H3968" s="132"/>
    </row>
    <row r="3969" spans="1:8" s="307" customFormat="1" ht="30" outlineLevel="3">
      <c r="A3969" s="494"/>
      <c r="B3969" s="494"/>
      <c r="C3969" s="648">
        <v>2211101</v>
      </c>
      <c r="D3969" s="649" t="s">
        <v>1035</v>
      </c>
      <c r="E3969" s="650">
        <v>450000</v>
      </c>
      <c r="F3969" s="597">
        <f t="shared" ref="F3969:G3969" si="3021">E3969*1.1</f>
        <v>495000.00000000006</v>
      </c>
      <c r="G3969" s="597">
        <f t="shared" si="3021"/>
        <v>544500.00000000012</v>
      </c>
      <c r="H3969" s="132"/>
    </row>
    <row r="3970" spans="1:8" s="307" customFormat="1" ht="15.75" outlineLevel="3">
      <c r="A3970" s="494"/>
      <c r="B3970" s="494"/>
      <c r="C3970" s="648">
        <v>2211102</v>
      </c>
      <c r="D3970" s="649" t="s">
        <v>51</v>
      </c>
      <c r="E3970" s="650">
        <v>900000</v>
      </c>
      <c r="F3970" s="597">
        <f t="shared" ref="F3970:G3970" si="3022">E3970*1.1</f>
        <v>990000.00000000012</v>
      </c>
      <c r="G3970" s="597">
        <f t="shared" si="3022"/>
        <v>1089000.0000000002</v>
      </c>
      <c r="H3970" s="132"/>
    </row>
    <row r="3971" spans="1:8" s="307" customFormat="1" ht="15.75" outlineLevel="3">
      <c r="A3971" s="494"/>
      <c r="B3971" s="494"/>
      <c r="C3971" s="648">
        <v>2211103</v>
      </c>
      <c r="D3971" s="649" t="s">
        <v>52</v>
      </c>
      <c r="E3971" s="650">
        <v>100000</v>
      </c>
      <c r="F3971" s="597">
        <f t="shared" ref="F3971:G3971" si="3023">E3971*1.1</f>
        <v>110000.00000000001</v>
      </c>
      <c r="G3971" s="597">
        <f t="shared" si="3023"/>
        <v>121000.00000000003</v>
      </c>
      <c r="H3971" s="132"/>
    </row>
    <row r="3972" spans="1:8" s="307" customFormat="1" ht="15.75" outlineLevel="3">
      <c r="A3972" s="494"/>
      <c r="B3972" s="494"/>
      <c r="C3972" s="646">
        <v>2211300</v>
      </c>
      <c r="D3972" s="647" t="s">
        <v>55</v>
      </c>
      <c r="E3972" s="642">
        <f>SUM(E3973:E3975)</f>
        <v>550000</v>
      </c>
      <c r="F3972" s="597">
        <f t="shared" ref="F3972:G3972" si="3024">E3972*1.1</f>
        <v>605000</v>
      </c>
      <c r="G3972" s="597">
        <f t="shared" si="3024"/>
        <v>665500</v>
      </c>
      <c r="H3972" s="132"/>
    </row>
    <row r="3973" spans="1:8" s="307" customFormat="1" ht="30" outlineLevel="3">
      <c r="A3973" s="494"/>
      <c r="B3973" s="494"/>
      <c r="C3973" s="648">
        <v>2211306</v>
      </c>
      <c r="D3973" s="649" t="s">
        <v>57</v>
      </c>
      <c r="E3973" s="650">
        <v>250000</v>
      </c>
      <c r="F3973" s="597">
        <f t="shared" ref="F3973:G3973" si="3025">E3973*1.1</f>
        <v>275000</v>
      </c>
      <c r="G3973" s="597">
        <f t="shared" si="3025"/>
        <v>302500</v>
      </c>
      <c r="H3973" s="132"/>
    </row>
    <row r="3974" spans="1:8" s="307" customFormat="1" ht="15.75" outlineLevel="3">
      <c r="A3974" s="494"/>
      <c r="B3974" s="494"/>
      <c r="C3974" s="648">
        <v>2210804</v>
      </c>
      <c r="D3974" s="649" t="s">
        <v>1048</v>
      </c>
      <c r="E3974" s="650">
        <f>300000-150000</f>
        <v>150000</v>
      </c>
      <c r="F3974" s="597">
        <f t="shared" ref="F3974:G3974" si="3026">E3974*1.1</f>
        <v>165000</v>
      </c>
      <c r="G3974" s="597">
        <f t="shared" si="3026"/>
        <v>181500.00000000003</v>
      </c>
      <c r="H3974" s="132"/>
    </row>
    <row r="3975" spans="1:8" s="307" customFormat="1" ht="15.75" outlineLevel="3">
      <c r="A3975" s="494"/>
      <c r="B3975" s="494"/>
      <c r="C3975" s="648">
        <v>2211324</v>
      </c>
      <c r="D3975" s="649" t="s">
        <v>1049</v>
      </c>
      <c r="E3975" s="650">
        <v>150000</v>
      </c>
      <c r="F3975" s="597">
        <f t="shared" ref="F3975:G3975" si="3027">E3975*1.1</f>
        <v>165000</v>
      </c>
      <c r="G3975" s="597">
        <f t="shared" si="3027"/>
        <v>181500.00000000003</v>
      </c>
      <c r="H3975" s="132"/>
    </row>
    <row r="3976" spans="1:8" s="307" customFormat="1" ht="15.75" outlineLevel="3">
      <c r="A3976" s="494"/>
      <c r="B3976" s="494"/>
      <c r="C3976" s="646">
        <v>2211200</v>
      </c>
      <c r="D3976" s="647" t="s">
        <v>53</v>
      </c>
      <c r="E3976" s="642">
        <f>E3977</f>
        <v>1200000</v>
      </c>
      <c r="F3976" s="597">
        <f t="shared" ref="F3976:G3976" si="3028">E3976*1.1</f>
        <v>1320000</v>
      </c>
      <c r="G3976" s="597">
        <f t="shared" si="3028"/>
        <v>1452000.0000000002</v>
      </c>
      <c r="H3976" s="132"/>
    </row>
    <row r="3977" spans="1:8" s="307" customFormat="1" ht="15.75" outlineLevel="3">
      <c r="A3977" s="494"/>
      <c r="B3977" s="494"/>
      <c r="C3977" s="648">
        <v>2211201</v>
      </c>
      <c r="D3977" s="649" t="s">
        <v>91</v>
      </c>
      <c r="E3977" s="650">
        <f>800000+400000</f>
        <v>1200000</v>
      </c>
      <c r="F3977" s="597">
        <f t="shared" ref="F3977:G3977" si="3029">E3977*1.1</f>
        <v>1320000</v>
      </c>
      <c r="G3977" s="597">
        <f t="shared" si="3029"/>
        <v>1452000.0000000002</v>
      </c>
      <c r="H3977" s="132"/>
    </row>
    <row r="3978" spans="1:8" s="307" customFormat="1" ht="30" outlineLevel="3">
      <c r="A3978" s="494"/>
      <c r="B3978" s="494"/>
      <c r="C3978" s="646">
        <v>2220100</v>
      </c>
      <c r="D3978" s="647" t="s">
        <v>61</v>
      </c>
      <c r="E3978" s="642">
        <f>SUM(E3979:E3980)</f>
        <v>355400</v>
      </c>
      <c r="F3978" s="597">
        <f t="shared" ref="F3978:G3978" si="3030">E3978*1.1</f>
        <v>390940.00000000006</v>
      </c>
      <c r="G3978" s="597">
        <f t="shared" si="3030"/>
        <v>430034.00000000012</v>
      </c>
      <c r="H3978" s="132"/>
    </row>
    <row r="3979" spans="1:8" s="307" customFormat="1" ht="15.75" outlineLevel="3">
      <c r="A3979" s="494"/>
      <c r="B3979" s="494"/>
      <c r="C3979" s="648">
        <v>2220101</v>
      </c>
      <c r="D3979" s="649" t="s">
        <v>441</v>
      </c>
      <c r="E3979" s="650">
        <v>255400</v>
      </c>
      <c r="F3979" s="597">
        <f t="shared" ref="F3979:G3979" si="3031">E3979*1.1</f>
        <v>280940</v>
      </c>
      <c r="G3979" s="597">
        <f t="shared" si="3031"/>
        <v>309034</v>
      </c>
      <c r="H3979" s="132"/>
    </row>
    <row r="3980" spans="1:8" s="307" customFormat="1" ht="15.75" outlineLevel="3">
      <c r="A3980" s="494"/>
      <c r="B3980" s="494"/>
      <c r="C3980" s="648">
        <v>2220105</v>
      </c>
      <c r="D3980" s="649" t="s">
        <v>225</v>
      </c>
      <c r="E3980" s="650">
        <v>100000</v>
      </c>
      <c r="F3980" s="597">
        <f t="shared" ref="F3980:G3980" si="3032">E3980*1.1</f>
        <v>110000.00000000001</v>
      </c>
      <c r="G3980" s="597">
        <f t="shared" si="3032"/>
        <v>121000.00000000003</v>
      </c>
      <c r="H3980" s="132"/>
    </row>
    <row r="3981" spans="1:8" s="307" customFormat="1" ht="15.75" outlineLevel="3">
      <c r="A3981" s="494"/>
      <c r="B3981" s="494"/>
      <c r="C3981" s="646">
        <v>2220200</v>
      </c>
      <c r="D3981" s="647" t="s">
        <v>179</v>
      </c>
      <c r="E3981" s="642">
        <f>SUM(E3982:E3982)</f>
        <v>150000</v>
      </c>
      <c r="F3981" s="597">
        <f t="shared" ref="F3981:G3981" si="3033">E3981*1.1</f>
        <v>165000</v>
      </c>
      <c r="G3981" s="597">
        <f t="shared" si="3033"/>
        <v>181500.00000000003</v>
      </c>
      <c r="H3981" s="132"/>
    </row>
    <row r="3982" spans="1:8" s="307" customFormat="1" ht="15.75" outlineLevel="3">
      <c r="A3982" s="494"/>
      <c r="B3982" s="494"/>
      <c r="C3982" s="648">
        <v>2220210</v>
      </c>
      <c r="D3982" s="649" t="s">
        <v>181</v>
      </c>
      <c r="E3982" s="650">
        <v>150000</v>
      </c>
      <c r="F3982" s="597">
        <f t="shared" ref="F3982:G3982" si="3034">E3982*1.1</f>
        <v>165000</v>
      </c>
      <c r="G3982" s="597">
        <f t="shared" si="3034"/>
        <v>181500.00000000003</v>
      </c>
      <c r="H3982" s="132"/>
    </row>
    <row r="3983" spans="1:8" s="307" customFormat="1" ht="15.75" outlineLevel="2">
      <c r="A3983" s="494"/>
      <c r="B3983" s="494"/>
      <c r="C3983" s="643" t="s">
        <v>1050</v>
      </c>
      <c r="D3983" s="649"/>
      <c r="E3983" s="642">
        <f>E3981+E3978+E3976+E3972+E3968+E3966+E3962+E3958+E3954+E3950</f>
        <v>6053273.3300000001</v>
      </c>
      <c r="F3983" s="597">
        <f t="shared" ref="F3983:G3983" si="3035">E3983*1.1</f>
        <v>6658600.6630000006</v>
      </c>
      <c r="G3983" s="597">
        <f t="shared" si="3035"/>
        <v>7324460.7293000016</v>
      </c>
      <c r="H3983" s="132"/>
    </row>
    <row r="3984" spans="1:8" s="307" customFormat="1" ht="15.75" outlineLevel="2">
      <c r="A3984" s="494"/>
      <c r="B3984" s="494"/>
      <c r="C3984" s="648"/>
      <c r="D3984" s="649"/>
      <c r="E3984" s="650"/>
      <c r="F3984" s="597">
        <f t="shared" ref="F3984:G3984" si="3036">E3984*1.1</f>
        <v>0</v>
      </c>
      <c r="G3984" s="597">
        <f t="shared" si="3036"/>
        <v>0</v>
      </c>
      <c r="H3984" s="132"/>
    </row>
    <row r="3985" spans="1:8" s="307" customFormat="1" ht="15.75" outlineLevel="2">
      <c r="A3985" s="494"/>
      <c r="B3985" s="494"/>
      <c r="C3985" s="648"/>
      <c r="D3985" s="649"/>
      <c r="E3985" s="650"/>
      <c r="F3985" s="597">
        <f t="shared" ref="F3985:G3985" si="3037">E3985*1.1</f>
        <v>0</v>
      </c>
      <c r="G3985" s="597">
        <f t="shared" si="3037"/>
        <v>0</v>
      </c>
      <c r="H3985" s="132"/>
    </row>
    <row r="3986" spans="1:8" s="307" customFormat="1" ht="15.75" outlineLevel="2">
      <c r="A3986" s="494"/>
      <c r="B3986" s="494"/>
      <c r="C3986" s="646" t="s">
        <v>184</v>
      </c>
      <c r="D3986" s="649"/>
      <c r="E3986" s="650"/>
      <c r="F3986" s="597">
        <f t="shared" ref="F3986:G3986" si="3038">E3986*1.1</f>
        <v>0</v>
      </c>
      <c r="G3986" s="597">
        <f t="shared" si="3038"/>
        <v>0</v>
      </c>
      <c r="H3986" s="132"/>
    </row>
    <row r="3987" spans="1:8" s="307" customFormat="1" ht="15.75" outlineLevel="3">
      <c r="A3987" s="492"/>
      <c r="B3987" s="492"/>
      <c r="C3987" s="646">
        <v>3130100</v>
      </c>
      <c r="D3987" s="647" t="s">
        <v>1051</v>
      </c>
      <c r="E3987" s="642">
        <f>SUM(E3988:E3989)</f>
        <v>2912127</v>
      </c>
      <c r="F3987" s="597">
        <f t="shared" ref="F3987:G3987" si="3039">E3987*1.1</f>
        <v>3203339.7</v>
      </c>
      <c r="G3987" s="597">
        <f t="shared" si="3039"/>
        <v>3523673.6700000004</v>
      </c>
      <c r="H3987" s="132"/>
    </row>
    <row r="3988" spans="1:8" s="307" customFormat="1" ht="45" outlineLevel="3">
      <c r="A3988" s="494"/>
      <c r="B3988" s="494"/>
      <c r="C3988" s="648">
        <v>3130102</v>
      </c>
      <c r="D3988" s="649" t="s">
        <v>1052</v>
      </c>
      <c r="E3988" s="650">
        <v>2000000</v>
      </c>
      <c r="F3988" s="597">
        <f t="shared" ref="F3988:G3988" si="3040">E3988*1.1</f>
        <v>2200000</v>
      </c>
      <c r="G3988" s="597">
        <f t="shared" si="3040"/>
        <v>2420000</v>
      </c>
      <c r="H3988" s="132"/>
    </row>
    <row r="3989" spans="1:8" s="307" customFormat="1" ht="15.75" outlineLevel="3">
      <c r="A3989" s="494"/>
      <c r="B3989" s="494"/>
      <c r="C3989" s="648">
        <v>3130103</v>
      </c>
      <c r="D3989" s="326" t="s">
        <v>1053</v>
      </c>
      <c r="E3989" s="650">
        <v>912127</v>
      </c>
      <c r="F3989" s="597">
        <f t="shared" ref="F3989:G3989" si="3041">E3989*1.1</f>
        <v>1003339.7000000001</v>
      </c>
      <c r="G3989" s="597">
        <f t="shared" si="3041"/>
        <v>1103673.6700000002</v>
      </c>
      <c r="H3989" s="132"/>
    </row>
    <row r="3990" spans="1:8" s="307" customFormat="1" ht="15.75" outlineLevel="2">
      <c r="A3990" s="492"/>
      <c r="B3990" s="492"/>
      <c r="C3990" s="646" t="s">
        <v>1054</v>
      </c>
      <c r="D3990" s="647" t="s">
        <v>1055</v>
      </c>
      <c r="E3990" s="642">
        <f>E3987</f>
        <v>2912127</v>
      </c>
      <c r="F3990" s="597">
        <f t="shared" ref="F3990:G3990" si="3042">E3990*1.1</f>
        <v>3203339.7</v>
      </c>
      <c r="G3990" s="597">
        <f t="shared" si="3042"/>
        <v>3523673.6700000004</v>
      </c>
      <c r="H3990" s="132"/>
    </row>
    <row r="3991" spans="1:8" s="307" customFormat="1" ht="15.75" outlineLevel="1">
      <c r="A3991" s="494"/>
      <c r="B3991" s="494"/>
      <c r="C3991" s="643" t="s">
        <v>1050</v>
      </c>
      <c r="D3991" s="644"/>
      <c r="E3991" s="642">
        <f>E3990+E3983</f>
        <v>8965400.3300000001</v>
      </c>
      <c r="F3991" s="597">
        <f t="shared" ref="F3991:G3991" si="3043">E3991*1.1</f>
        <v>9861940.3630000018</v>
      </c>
      <c r="G3991" s="597">
        <f t="shared" si="3043"/>
        <v>10848134.399300003</v>
      </c>
      <c r="H3991" s="132"/>
    </row>
    <row r="3992" spans="1:8" s="307" customFormat="1" ht="15.75" outlineLevel="1">
      <c r="A3992" s="494"/>
      <c r="B3992" s="494"/>
      <c r="C3992" s="643" t="s">
        <v>80</v>
      </c>
      <c r="D3992" s="658"/>
      <c r="E3992" s="642">
        <f>E3991</f>
        <v>8965400.3300000001</v>
      </c>
      <c r="F3992" s="597">
        <f t="shared" ref="F3992:G3992" si="3044">E3992*1.1</f>
        <v>9861940.3630000018</v>
      </c>
      <c r="G3992" s="597">
        <f t="shared" si="3044"/>
        <v>10848134.399300003</v>
      </c>
      <c r="H3992" s="132"/>
    </row>
    <row r="3993" spans="1:8" s="307" customFormat="1" ht="15.75" outlineLevel="1">
      <c r="A3993" s="494"/>
      <c r="B3993" s="494"/>
      <c r="C3993" s="643"/>
      <c r="D3993" s="658"/>
      <c r="E3993" s="642">
        <v>0</v>
      </c>
      <c r="F3993" s="597">
        <f t="shared" ref="F3993:G3993" si="3045">E3993*1.1</f>
        <v>0</v>
      </c>
      <c r="G3993" s="597">
        <f t="shared" si="3045"/>
        <v>0</v>
      </c>
      <c r="H3993" s="132"/>
    </row>
    <row r="3994" spans="1:8" s="307" customFormat="1" ht="15.75" outlineLevel="1">
      <c r="A3994" s="494"/>
      <c r="B3994" s="494"/>
      <c r="C3994" s="643"/>
      <c r="D3994" s="658"/>
      <c r="E3994" s="642">
        <v>0</v>
      </c>
      <c r="F3994" s="597">
        <f t="shared" ref="F3994:G3994" si="3046">E3994*1.1</f>
        <v>0</v>
      </c>
      <c r="G3994" s="597">
        <f t="shared" si="3046"/>
        <v>0</v>
      </c>
      <c r="H3994" s="132"/>
    </row>
    <row r="3995" spans="1:8" s="307" customFormat="1" ht="15.75" outlineLevel="1">
      <c r="A3995" s="494"/>
      <c r="B3995" s="494"/>
      <c r="C3995" s="656" t="s">
        <v>1056</v>
      </c>
      <c r="D3995" s="657"/>
      <c r="E3995" s="642">
        <v>0</v>
      </c>
      <c r="F3995" s="597">
        <f t="shared" ref="F3995:G3995" si="3047">E3995*1.1</f>
        <v>0</v>
      </c>
      <c r="G3995" s="597">
        <f t="shared" si="3047"/>
        <v>0</v>
      </c>
      <c r="H3995" s="132"/>
    </row>
    <row r="3996" spans="1:8" s="307" customFormat="1" ht="15.75" outlineLevel="3">
      <c r="A3996" s="494"/>
      <c r="B3996" s="494"/>
      <c r="C3996" s="646">
        <v>2210200</v>
      </c>
      <c r="D3996" s="647" t="s">
        <v>19</v>
      </c>
      <c r="E3996" s="642">
        <f>SUM(E3997:E3999)</f>
        <v>270000</v>
      </c>
      <c r="F3996" s="597">
        <f t="shared" ref="F3996:G3996" si="3048">E3996*1.1</f>
        <v>297000</v>
      </c>
      <c r="G3996" s="597">
        <f t="shared" si="3048"/>
        <v>326700</v>
      </c>
      <c r="H3996" s="132"/>
    </row>
    <row r="3997" spans="1:8" s="307" customFormat="1" ht="15.75" outlineLevel="3">
      <c r="A3997" s="494"/>
      <c r="B3997" s="494"/>
      <c r="C3997" s="648">
        <v>2210201</v>
      </c>
      <c r="D3997" s="649" t="s">
        <v>236</v>
      </c>
      <c r="E3997" s="650">
        <v>120000</v>
      </c>
      <c r="F3997" s="597">
        <f t="shared" ref="F3997:G3997" si="3049">E3997*1.1</f>
        <v>132000</v>
      </c>
      <c r="G3997" s="597">
        <f t="shared" si="3049"/>
        <v>145200</v>
      </c>
      <c r="H3997" s="132"/>
    </row>
    <row r="3998" spans="1:8" s="307" customFormat="1" ht="15.75" outlineLevel="3">
      <c r="A3998" s="494"/>
      <c r="B3998" s="494"/>
      <c r="C3998" s="648">
        <v>2210202</v>
      </c>
      <c r="D3998" s="649" t="s">
        <v>439</v>
      </c>
      <c r="E3998" s="650">
        <v>100000</v>
      </c>
      <c r="F3998" s="597">
        <f t="shared" ref="F3998:G3998" si="3050">E3998*1.1</f>
        <v>110000.00000000001</v>
      </c>
      <c r="G3998" s="597">
        <f t="shared" si="3050"/>
        <v>121000.00000000003</v>
      </c>
      <c r="H3998" s="132"/>
    </row>
    <row r="3999" spans="1:8" s="307" customFormat="1" ht="15.75" outlineLevel="3">
      <c r="A3999" s="494"/>
      <c r="B3999" s="494"/>
      <c r="C3999" s="648">
        <v>2210203</v>
      </c>
      <c r="D3999" s="649" t="s">
        <v>22</v>
      </c>
      <c r="E3999" s="650">
        <v>50000</v>
      </c>
      <c r="F3999" s="597">
        <f t="shared" ref="F3999:G3999" si="3051">E3999*1.1</f>
        <v>55000.000000000007</v>
      </c>
      <c r="G3999" s="597">
        <f t="shared" si="3051"/>
        <v>60500.000000000015</v>
      </c>
      <c r="H3999" s="132"/>
    </row>
    <row r="4000" spans="1:8" s="307" customFormat="1" ht="30" outlineLevel="3">
      <c r="A4000" s="494"/>
      <c r="B4000" s="494"/>
      <c r="C4000" s="646">
        <v>2210300</v>
      </c>
      <c r="D4000" s="647" t="s">
        <v>23</v>
      </c>
      <c r="E4000" s="642">
        <f>SUM(E4001:E4003)</f>
        <v>1026190.48</v>
      </c>
      <c r="F4000" s="597">
        <f t="shared" ref="F4000:G4000" si="3052">E4000*1.1</f>
        <v>1128809.5280000002</v>
      </c>
      <c r="G4000" s="597">
        <f t="shared" si="3052"/>
        <v>1241690.4808000003</v>
      </c>
      <c r="H4000" s="132"/>
    </row>
    <row r="4001" spans="1:8" s="307" customFormat="1" ht="15.75" outlineLevel="3">
      <c r="A4001" s="494"/>
      <c r="B4001" s="494"/>
      <c r="C4001" s="648">
        <v>2210301</v>
      </c>
      <c r="D4001" s="649" t="s">
        <v>208</v>
      </c>
      <c r="E4001" s="650">
        <v>250000</v>
      </c>
      <c r="F4001" s="597">
        <f t="shared" ref="F4001:G4001" si="3053">E4001*1.1</f>
        <v>275000</v>
      </c>
      <c r="G4001" s="597">
        <f t="shared" si="3053"/>
        <v>302500</v>
      </c>
      <c r="H4001" s="132"/>
    </row>
    <row r="4002" spans="1:8" s="307" customFormat="1" ht="15.75" outlineLevel="3">
      <c r="A4002" s="494"/>
      <c r="B4002" s="494"/>
      <c r="C4002" s="648">
        <v>2210302</v>
      </c>
      <c r="D4002" s="649" t="s">
        <v>25</v>
      </c>
      <c r="E4002" s="650">
        <v>300000</v>
      </c>
      <c r="F4002" s="597">
        <f t="shared" ref="F4002:G4002" si="3054">E4002*1.1</f>
        <v>330000</v>
      </c>
      <c r="G4002" s="597">
        <f t="shared" si="3054"/>
        <v>363000.00000000006</v>
      </c>
      <c r="H4002" s="132"/>
    </row>
    <row r="4003" spans="1:8" s="307" customFormat="1" ht="15.75" outlineLevel="3">
      <c r="A4003" s="659"/>
      <c r="B4003" s="659"/>
      <c r="C4003" s="648">
        <v>2210303</v>
      </c>
      <c r="D4003" s="649" t="s">
        <v>259</v>
      </c>
      <c r="E4003" s="650">
        <v>476190.48</v>
      </c>
      <c r="F4003" s="597">
        <f t="shared" ref="F4003:G4003" si="3055">E4003*1.1</f>
        <v>523809.52800000005</v>
      </c>
      <c r="G4003" s="597">
        <f t="shared" si="3055"/>
        <v>576190.48080000014</v>
      </c>
      <c r="H4003" s="132"/>
    </row>
    <row r="4004" spans="1:8" s="307" customFormat="1" ht="15.75" outlineLevel="3">
      <c r="A4004" s="494"/>
      <c r="B4004" s="494"/>
      <c r="C4004" s="646">
        <v>2210500</v>
      </c>
      <c r="D4004" s="647" t="s">
        <v>30</v>
      </c>
      <c r="E4004" s="642">
        <f>SUM(E4005:E4007)</f>
        <v>500000</v>
      </c>
      <c r="F4004" s="597">
        <f t="shared" ref="F4004:G4004" si="3056">E4004*1.1</f>
        <v>550000</v>
      </c>
      <c r="G4004" s="597">
        <f t="shared" si="3056"/>
        <v>605000</v>
      </c>
      <c r="H4004" s="132"/>
    </row>
    <row r="4005" spans="1:8" s="307" customFormat="1" ht="15.75" outlineLevel="3">
      <c r="A4005" s="494"/>
      <c r="B4005" s="494"/>
      <c r="C4005" s="648">
        <v>2210502</v>
      </c>
      <c r="D4005" s="649" t="s">
        <v>162</v>
      </c>
      <c r="E4005" s="650">
        <v>100000</v>
      </c>
      <c r="F4005" s="597">
        <f t="shared" ref="F4005:G4005" si="3057">E4005*1.1</f>
        <v>110000.00000000001</v>
      </c>
      <c r="G4005" s="597">
        <f t="shared" si="3057"/>
        <v>121000.00000000003</v>
      </c>
      <c r="H4005" s="132"/>
    </row>
    <row r="4006" spans="1:8" s="307" customFormat="1" ht="15.75" outlineLevel="3">
      <c r="A4006" s="494"/>
      <c r="B4006" s="494"/>
      <c r="C4006" s="648">
        <v>2210503</v>
      </c>
      <c r="D4006" s="649" t="s">
        <v>31</v>
      </c>
      <c r="E4006" s="650">
        <v>150000</v>
      </c>
      <c r="F4006" s="597">
        <f t="shared" ref="F4006:G4006" si="3058">E4006*1.1</f>
        <v>165000</v>
      </c>
      <c r="G4006" s="597">
        <f t="shared" si="3058"/>
        <v>181500.00000000003</v>
      </c>
      <c r="H4006" s="132"/>
    </row>
    <row r="4007" spans="1:8" s="307" customFormat="1" ht="15.75" outlineLevel="3">
      <c r="A4007" s="494"/>
      <c r="B4007" s="494"/>
      <c r="C4007" s="648">
        <v>2210504</v>
      </c>
      <c r="D4007" s="649" t="s">
        <v>32</v>
      </c>
      <c r="E4007" s="650">
        <v>250000</v>
      </c>
      <c r="F4007" s="597">
        <f t="shared" ref="F4007:G4007" si="3059">E4007*1.1</f>
        <v>275000</v>
      </c>
      <c r="G4007" s="597">
        <f t="shared" si="3059"/>
        <v>302500</v>
      </c>
      <c r="H4007" s="132"/>
    </row>
    <row r="4008" spans="1:8" s="307" customFormat="1" ht="15.75" outlineLevel="3">
      <c r="A4008" s="494"/>
      <c r="B4008" s="494"/>
      <c r="C4008" s="646">
        <v>2210700</v>
      </c>
      <c r="D4008" s="647" t="s">
        <v>34</v>
      </c>
      <c r="E4008" s="642">
        <f>SUM(E4009+E4010+E4011)</f>
        <v>720000</v>
      </c>
      <c r="F4008" s="597">
        <f t="shared" ref="F4008:G4008" si="3060">E4008*1.1</f>
        <v>792000.00000000012</v>
      </c>
      <c r="G4008" s="597">
        <f t="shared" si="3060"/>
        <v>871200.00000000023</v>
      </c>
      <c r="H4008" s="132"/>
    </row>
    <row r="4009" spans="1:8" s="307" customFormat="1" ht="15.75" outlineLevel="3">
      <c r="A4009" s="494"/>
      <c r="B4009" s="494"/>
      <c r="C4009" s="648">
        <v>2210701</v>
      </c>
      <c r="D4009" s="649" t="s">
        <v>210</v>
      </c>
      <c r="E4009" s="650">
        <v>300000</v>
      </c>
      <c r="F4009" s="597">
        <f t="shared" ref="F4009:G4009" si="3061">E4009*1.1</f>
        <v>330000</v>
      </c>
      <c r="G4009" s="597">
        <f t="shared" si="3061"/>
        <v>363000.00000000006</v>
      </c>
      <c r="H4009" s="132"/>
    </row>
    <row r="4010" spans="1:8" s="307" customFormat="1" ht="15.75" outlineLevel="3">
      <c r="A4010" s="494"/>
      <c r="B4010" s="494"/>
      <c r="C4010" s="648">
        <v>2210704</v>
      </c>
      <c r="D4010" s="649" t="s">
        <v>37</v>
      </c>
      <c r="E4010" s="650">
        <v>220000</v>
      </c>
      <c r="F4010" s="597">
        <f t="shared" ref="F4010:G4010" si="3062">E4010*1.1</f>
        <v>242000.00000000003</v>
      </c>
      <c r="G4010" s="597">
        <f t="shared" si="3062"/>
        <v>266200.00000000006</v>
      </c>
      <c r="H4010" s="132"/>
    </row>
    <row r="4011" spans="1:8" s="307" customFormat="1" ht="15.75" outlineLevel="3">
      <c r="A4011" s="494"/>
      <c r="B4011" s="494"/>
      <c r="C4011" s="648">
        <v>2210710</v>
      </c>
      <c r="D4011" s="649" t="s">
        <v>449</v>
      </c>
      <c r="E4011" s="650">
        <v>200000</v>
      </c>
      <c r="F4011" s="597">
        <f t="shared" ref="F4011:G4011" si="3063">E4011*1.1</f>
        <v>220000.00000000003</v>
      </c>
      <c r="G4011" s="597">
        <f t="shared" si="3063"/>
        <v>242000.00000000006</v>
      </c>
      <c r="H4011" s="132"/>
    </row>
    <row r="4012" spans="1:8" s="307" customFormat="1" ht="15.75" outlineLevel="3">
      <c r="A4012" s="494"/>
      <c r="B4012" s="494"/>
      <c r="C4012" s="646">
        <v>2210800</v>
      </c>
      <c r="D4012" s="644" t="s">
        <v>41</v>
      </c>
      <c r="E4012" s="642">
        <f>SUM(E4013:E4013)</f>
        <v>300000</v>
      </c>
      <c r="F4012" s="597">
        <f t="shared" ref="F4012:G4012" si="3064">E4012*1.1</f>
        <v>330000</v>
      </c>
      <c r="G4012" s="597">
        <f t="shared" si="3064"/>
        <v>363000.00000000006</v>
      </c>
      <c r="H4012" s="132"/>
    </row>
    <row r="4013" spans="1:8" s="307" customFormat="1" ht="45" outlineLevel="3">
      <c r="A4013" s="494"/>
      <c r="B4013" s="494"/>
      <c r="C4013" s="648">
        <v>2210801</v>
      </c>
      <c r="D4013" s="649" t="s">
        <v>1033</v>
      </c>
      <c r="E4013" s="650">
        <v>300000</v>
      </c>
      <c r="F4013" s="597">
        <f t="shared" ref="F4013:G4013" si="3065">E4013*1.1</f>
        <v>330000</v>
      </c>
      <c r="G4013" s="597">
        <f t="shared" si="3065"/>
        <v>363000.00000000006</v>
      </c>
      <c r="H4013" s="132"/>
    </row>
    <row r="4014" spans="1:8" s="307" customFormat="1" ht="15.75" outlineLevel="3">
      <c r="A4014" s="494"/>
      <c r="B4014" s="494"/>
      <c r="C4014" s="646">
        <v>2211100</v>
      </c>
      <c r="D4014" s="647" t="s">
        <v>49</v>
      </c>
      <c r="E4014" s="642">
        <f>SUM(E4015+E4016+E4017)</f>
        <v>3470000</v>
      </c>
      <c r="F4014" s="597">
        <f t="shared" ref="F4014:G4014" si="3066">E4014*1.1</f>
        <v>3817000.0000000005</v>
      </c>
      <c r="G4014" s="597">
        <f t="shared" si="3066"/>
        <v>4198700.0000000009</v>
      </c>
      <c r="H4014" s="132"/>
    </row>
    <row r="4015" spans="1:8" s="307" customFormat="1" ht="15.75" outlineLevel="3">
      <c r="A4015" s="494"/>
      <c r="B4015" s="494"/>
      <c r="C4015" s="648">
        <v>2211101</v>
      </c>
      <c r="D4015" s="649" t="s">
        <v>1057</v>
      </c>
      <c r="E4015" s="650">
        <v>2300000</v>
      </c>
      <c r="F4015" s="597">
        <f t="shared" ref="F4015:G4015" si="3067">E4015*1.1</f>
        <v>2530000</v>
      </c>
      <c r="G4015" s="597">
        <f t="shared" si="3067"/>
        <v>2783000</v>
      </c>
      <c r="H4015" s="132"/>
    </row>
    <row r="4016" spans="1:8" s="307" customFormat="1" ht="15.75" outlineLevel="3">
      <c r="A4016" s="494"/>
      <c r="B4016" s="494"/>
      <c r="C4016" s="648">
        <v>2211102</v>
      </c>
      <c r="D4016" s="649" t="s">
        <v>51</v>
      </c>
      <c r="E4016" s="650">
        <v>900000</v>
      </c>
      <c r="F4016" s="597">
        <f t="shared" ref="F4016:G4016" si="3068">E4016*1.1</f>
        <v>990000.00000000012</v>
      </c>
      <c r="G4016" s="597">
        <f t="shared" si="3068"/>
        <v>1089000.0000000002</v>
      </c>
      <c r="H4016" s="132"/>
    </row>
    <row r="4017" spans="1:8" s="307" customFormat="1" ht="15.75" outlineLevel="3">
      <c r="A4017" s="494"/>
      <c r="B4017" s="494"/>
      <c r="C4017" s="648">
        <v>2211103</v>
      </c>
      <c r="D4017" s="649" t="s">
        <v>52</v>
      </c>
      <c r="E4017" s="650">
        <v>270000</v>
      </c>
      <c r="F4017" s="597">
        <f t="shared" ref="F4017:G4017" si="3069">E4017*1.1</f>
        <v>297000</v>
      </c>
      <c r="G4017" s="597">
        <f t="shared" si="3069"/>
        <v>326700</v>
      </c>
      <c r="H4017" s="132"/>
    </row>
    <row r="4018" spans="1:8" s="307" customFormat="1" ht="15.75" outlineLevel="3">
      <c r="A4018" s="494"/>
      <c r="B4018" s="494"/>
      <c r="C4018" s="646">
        <v>2211300</v>
      </c>
      <c r="D4018" s="647" t="s">
        <v>55</v>
      </c>
      <c r="E4018" s="642">
        <f>SUM(E4019:E4019)</f>
        <v>400000</v>
      </c>
      <c r="F4018" s="597">
        <f t="shared" ref="F4018:G4018" si="3070">E4018*1.1</f>
        <v>440000.00000000006</v>
      </c>
      <c r="G4018" s="597">
        <f t="shared" si="3070"/>
        <v>484000.00000000012</v>
      </c>
      <c r="H4018" s="132"/>
    </row>
    <row r="4019" spans="1:8" s="307" customFormat="1" ht="30" outlineLevel="3">
      <c r="A4019" s="494"/>
      <c r="B4019" s="494"/>
      <c r="C4019" s="648">
        <v>2211306</v>
      </c>
      <c r="D4019" s="649" t="s">
        <v>57</v>
      </c>
      <c r="E4019" s="650">
        <v>400000</v>
      </c>
      <c r="F4019" s="597">
        <f t="shared" ref="F4019:G4019" si="3071">E4019*1.1</f>
        <v>440000.00000000006</v>
      </c>
      <c r="G4019" s="597">
        <f t="shared" si="3071"/>
        <v>484000.00000000012</v>
      </c>
      <c r="H4019" s="132"/>
    </row>
    <row r="4020" spans="1:8" s="307" customFormat="1" ht="15.75" outlineLevel="3">
      <c r="A4020" s="494"/>
      <c r="B4020" s="494"/>
      <c r="C4020" s="646">
        <v>2211200</v>
      </c>
      <c r="D4020" s="647" t="s">
        <v>53</v>
      </c>
      <c r="E4020" s="642">
        <f>E4021</f>
        <v>1200000</v>
      </c>
      <c r="F4020" s="597">
        <f t="shared" ref="F4020:G4020" si="3072">E4020*1.1</f>
        <v>1320000</v>
      </c>
      <c r="G4020" s="597">
        <f t="shared" si="3072"/>
        <v>1452000.0000000002</v>
      </c>
      <c r="H4020" s="132"/>
    </row>
    <row r="4021" spans="1:8" s="307" customFormat="1" ht="15.75" outlineLevel="3">
      <c r="A4021" s="494"/>
      <c r="B4021" s="494"/>
      <c r="C4021" s="648">
        <v>2211201</v>
      </c>
      <c r="D4021" s="649" t="s">
        <v>91</v>
      </c>
      <c r="E4021" s="650">
        <v>1200000</v>
      </c>
      <c r="F4021" s="597">
        <f t="shared" ref="F4021:G4021" si="3073">E4021*1.1</f>
        <v>1320000</v>
      </c>
      <c r="G4021" s="597">
        <f t="shared" si="3073"/>
        <v>1452000.0000000002</v>
      </c>
      <c r="H4021" s="132"/>
    </row>
    <row r="4022" spans="1:8" s="307" customFormat="1" ht="30" outlineLevel="3">
      <c r="A4022" s="494"/>
      <c r="B4022" s="494"/>
      <c r="C4022" s="646">
        <v>2220100</v>
      </c>
      <c r="D4022" s="647" t="s">
        <v>61</v>
      </c>
      <c r="E4022" s="642">
        <f>SUM(E4023:E4024)</f>
        <v>200000</v>
      </c>
      <c r="F4022" s="597">
        <f t="shared" ref="F4022:G4022" si="3074">E4022*1.1</f>
        <v>220000.00000000003</v>
      </c>
      <c r="G4022" s="597">
        <f t="shared" si="3074"/>
        <v>242000.00000000006</v>
      </c>
      <c r="H4022" s="132"/>
    </row>
    <row r="4023" spans="1:8" s="307" customFormat="1" ht="15.75" outlineLevel="3">
      <c r="A4023" s="494"/>
      <c r="B4023" s="494"/>
      <c r="C4023" s="648">
        <v>2220101</v>
      </c>
      <c r="D4023" s="649" t="s">
        <v>441</v>
      </c>
      <c r="E4023" s="650">
        <v>100000</v>
      </c>
      <c r="F4023" s="597">
        <f t="shared" ref="F4023:G4023" si="3075">E4023*1.1</f>
        <v>110000.00000000001</v>
      </c>
      <c r="G4023" s="597">
        <f t="shared" si="3075"/>
        <v>121000.00000000003</v>
      </c>
      <c r="H4023" s="132"/>
    </row>
    <row r="4024" spans="1:8" s="307" customFormat="1" ht="15.75" outlineLevel="3">
      <c r="A4024" s="494"/>
      <c r="B4024" s="494"/>
      <c r="C4024" s="648">
        <v>2220105</v>
      </c>
      <c r="D4024" s="649" t="s">
        <v>225</v>
      </c>
      <c r="E4024" s="650">
        <v>100000</v>
      </c>
      <c r="F4024" s="597">
        <f t="shared" ref="F4024:G4024" si="3076">E4024*1.1</f>
        <v>110000.00000000001</v>
      </c>
      <c r="G4024" s="597">
        <f t="shared" si="3076"/>
        <v>121000.00000000003</v>
      </c>
      <c r="H4024" s="132"/>
    </row>
    <row r="4025" spans="1:8" s="307" customFormat="1" ht="15.75" outlineLevel="3">
      <c r="A4025" s="494"/>
      <c r="B4025" s="494"/>
      <c r="C4025" s="646">
        <v>2220200</v>
      </c>
      <c r="D4025" s="647" t="s">
        <v>179</v>
      </c>
      <c r="E4025" s="642">
        <f>SUM(E4026:E4027)</f>
        <v>1200000</v>
      </c>
      <c r="F4025" s="597">
        <f t="shared" ref="F4025:G4025" si="3077">E4025*1.1</f>
        <v>1320000</v>
      </c>
      <c r="G4025" s="597">
        <f t="shared" si="3077"/>
        <v>1452000.0000000002</v>
      </c>
      <c r="H4025" s="132"/>
    </row>
    <row r="4026" spans="1:8" s="307" customFormat="1" ht="15.75" outlineLevel="3">
      <c r="A4026" s="494"/>
      <c r="B4026" s="494"/>
      <c r="C4026" s="648">
        <v>2220210</v>
      </c>
      <c r="D4026" s="649" t="s">
        <v>181</v>
      </c>
      <c r="E4026" s="650">
        <v>200000</v>
      </c>
      <c r="F4026" s="597">
        <f t="shared" ref="F4026:G4026" si="3078">E4026*1.1</f>
        <v>220000.00000000003</v>
      </c>
      <c r="G4026" s="597">
        <f t="shared" si="3078"/>
        <v>242000.00000000006</v>
      </c>
      <c r="H4026" s="132"/>
    </row>
    <row r="4027" spans="1:8" s="307" customFormat="1" ht="15.75" outlineLevel="3">
      <c r="A4027" s="494"/>
      <c r="B4027" s="494"/>
      <c r="C4027" s="648">
        <v>2220201</v>
      </c>
      <c r="D4027" s="649" t="s">
        <v>1058</v>
      </c>
      <c r="E4027" s="650">
        <v>1000000</v>
      </c>
      <c r="F4027" s="597">
        <f t="shared" ref="F4027:G4027" si="3079">E4027*1.1</f>
        <v>1100000</v>
      </c>
      <c r="G4027" s="597">
        <f t="shared" si="3079"/>
        <v>1210000</v>
      </c>
      <c r="H4027" s="132"/>
    </row>
    <row r="4028" spans="1:8" s="307" customFormat="1" ht="15.75" outlineLevel="3">
      <c r="A4028" s="492"/>
      <c r="B4028" s="492"/>
      <c r="C4028" s="646">
        <v>3111100</v>
      </c>
      <c r="D4028" s="647" t="s">
        <v>669</v>
      </c>
      <c r="E4028" s="642">
        <f>E4029+E4030</f>
        <v>4412127</v>
      </c>
      <c r="F4028" s="597">
        <f t="shared" ref="F4028:G4028" si="3080">E4028*1.1</f>
        <v>4853339.7</v>
      </c>
      <c r="G4028" s="597">
        <f t="shared" si="3080"/>
        <v>5338673.6700000009</v>
      </c>
      <c r="H4028" s="132"/>
    </row>
    <row r="4029" spans="1:8" s="307" customFormat="1" ht="15.75" outlineLevel="3">
      <c r="A4029" s="494"/>
      <c r="B4029" s="494"/>
      <c r="C4029" s="648">
        <v>3111112</v>
      </c>
      <c r="D4029" s="649" t="s">
        <v>1059</v>
      </c>
      <c r="E4029" s="650">
        <v>3412127</v>
      </c>
      <c r="F4029" s="597">
        <f t="shared" ref="F4029:G4029" si="3081">E4029*1.1</f>
        <v>3753339.7</v>
      </c>
      <c r="G4029" s="597">
        <f t="shared" si="3081"/>
        <v>4128673.6700000004</v>
      </c>
      <c r="H4029" s="132"/>
    </row>
    <row r="4030" spans="1:8" s="307" customFormat="1" ht="15.75" outlineLevel="3">
      <c r="A4030" s="494"/>
      <c r="B4030" s="494"/>
      <c r="C4030" s="648">
        <v>3111112</v>
      </c>
      <c r="D4030" s="649" t="s">
        <v>1060</v>
      </c>
      <c r="E4030" s="650">
        <v>1000000</v>
      </c>
      <c r="F4030" s="597">
        <f t="shared" ref="F4030:G4030" si="3082">E4030*1.1</f>
        <v>1100000</v>
      </c>
      <c r="G4030" s="597">
        <f t="shared" si="3082"/>
        <v>1210000</v>
      </c>
      <c r="H4030" s="132"/>
    </row>
    <row r="4031" spans="1:8" s="307" customFormat="1" ht="15.75" outlineLevel="2">
      <c r="A4031" s="494"/>
      <c r="B4031" s="494"/>
      <c r="C4031" s="643" t="s">
        <v>1061</v>
      </c>
      <c r="D4031" s="644"/>
      <c r="E4031" s="642">
        <f>SUM(E4028,E4025,E4022,E4020,E4018,E4014,E4012,E4008,E4004,E4000,E3996)</f>
        <v>13698317.48</v>
      </c>
      <c r="F4031" s="597">
        <f t="shared" ref="F4031:G4031" si="3083">E4031*1.1</f>
        <v>15068149.228000002</v>
      </c>
      <c r="G4031" s="597">
        <f t="shared" si="3083"/>
        <v>16574964.150800003</v>
      </c>
      <c r="H4031" s="132"/>
    </row>
    <row r="4032" spans="1:8" s="307" customFormat="1" ht="15.75" outlineLevel="2">
      <c r="A4032" s="494"/>
      <c r="B4032" s="494"/>
      <c r="C4032" s="643"/>
      <c r="D4032" s="658"/>
      <c r="E4032" s="642">
        <v>0</v>
      </c>
      <c r="F4032" s="597">
        <f t="shared" ref="F4032:G4032" si="3084">E4032*1.1</f>
        <v>0</v>
      </c>
      <c r="G4032" s="597">
        <f t="shared" si="3084"/>
        <v>0</v>
      </c>
      <c r="H4032" s="132"/>
    </row>
    <row r="4033" spans="1:8" s="307" customFormat="1" ht="15.75" outlineLevel="2">
      <c r="A4033" s="494"/>
      <c r="B4033" s="494"/>
      <c r="C4033" s="643" t="s">
        <v>1062</v>
      </c>
      <c r="D4033" s="644"/>
      <c r="E4033" s="645">
        <v>0</v>
      </c>
      <c r="F4033" s="597">
        <f t="shared" ref="F4033:G4033" si="3085">E4033*1.1</f>
        <v>0</v>
      </c>
      <c r="G4033" s="597">
        <f t="shared" si="3085"/>
        <v>0</v>
      </c>
      <c r="H4033" s="132"/>
    </row>
    <row r="4034" spans="1:8" s="307" customFormat="1" ht="15.75" outlineLevel="3">
      <c r="A4034" s="494"/>
      <c r="B4034" s="494"/>
      <c r="C4034" s="646">
        <v>3110500</v>
      </c>
      <c r="D4034" s="647" t="s">
        <v>305</v>
      </c>
      <c r="E4034" s="642">
        <f>SUM(E4035:E4035)</f>
        <v>500000</v>
      </c>
      <c r="F4034" s="597">
        <f t="shared" ref="F4034:G4034" si="3086">E4034*1.1</f>
        <v>550000</v>
      </c>
      <c r="G4034" s="597">
        <f t="shared" si="3086"/>
        <v>605000</v>
      </c>
      <c r="H4034" s="132"/>
    </row>
    <row r="4035" spans="1:8" s="307" customFormat="1" ht="15.75" outlineLevel="3">
      <c r="A4035" s="494"/>
      <c r="B4035" s="494"/>
      <c r="C4035" s="648">
        <v>3110505</v>
      </c>
      <c r="D4035" s="649" t="s">
        <v>1063</v>
      </c>
      <c r="E4035" s="660">
        <v>500000</v>
      </c>
      <c r="F4035" s="597">
        <f t="shared" ref="F4035:G4035" si="3087">E4035*1.1</f>
        <v>550000</v>
      </c>
      <c r="G4035" s="597">
        <f t="shared" si="3087"/>
        <v>605000</v>
      </c>
      <c r="H4035" s="132"/>
    </row>
    <row r="4036" spans="1:8" s="307" customFormat="1" ht="15.75" outlineLevel="3">
      <c r="A4036" s="494"/>
      <c r="B4036" s="494"/>
      <c r="C4036" s="646">
        <v>3111400</v>
      </c>
      <c r="D4036" s="647" t="s">
        <v>1064</v>
      </c>
      <c r="E4036" s="642">
        <f>SUM(E4037:E4039)</f>
        <v>9330133</v>
      </c>
      <c r="F4036" s="597">
        <f t="shared" ref="F4036:G4036" si="3088">E4036*1.1</f>
        <v>10263146.300000001</v>
      </c>
      <c r="G4036" s="597">
        <f t="shared" si="3088"/>
        <v>11289460.930000002</v>
      </c>
      <c r="H4036" s="132"/>
    </row>
    <row r="4037" spans="1:8" s="307" customFormat="1" ht="15.75" outlineLevel="3">
      <c r="A4037" s="494"/>
      <c r="B4037" s="494"/>
      <c r="C4037" s="648">
        <v>3111401</v>
      </c>
      <c r="D4037" s="649" t="s">
        <v>1065</v>
      </c>
      <c r="E4037" s="650">
        <v>830133</v>
      </c>
      <c r="F4037" s="597">
        <f t="shared" ref="F4037:G4037" si="3089">E4037*1.1</f>
        <v>913146.3</v>
      </c>
      <c r="G4037" s="597">
        <f t="shared" si="3089"/>
        <v>1004460.9300000002</v>
      </c>
      <c r="H4037" s="132"/>
    </row>
    <row r="4038" spans="1:8" s="307" customFormat="1" ht="15.75" outlineLevel="3">
      <c r="A4038" s="494"/>
      <c r="B4038" s="494"/>
      <c r="C4038" s="648">
        <v>3110505</v>
      </c>
      <c r="D4038" s="649" t="s">
        <v>1066</v>
      </c>
      <c r="E4038" s="650">
        <v>7000000</v>
      </c>
      <c r="F4038" s="597">
        <f t="shared" ref="F4038:G4038" si="3090">E4038*1.1</f>
        <v>7700000.0000000009</v>
      </c>
      <c r="G4038" s="597">
        <f t="shared" si="3090"/>
        <v>8470000.0000000019</v>
      </c>
      <c r="H4038" s="132"/>
    </row>
    <row r="4039" spans="1:8" s="307" customFormat="1" ht="15.75" outlineLevel="3">
      <c r="A4039" s="494"/>
      <c r="B4039" s="494"/>
      <c r="C4039" s="648">
        <v>3111499</v>
      </c>
      <c r="D4039" s="649" t="s">
        <v>1067</v>
      </c>
      <c r="E4039" s="650">
        <v>1500000</v>
      </c>
      <c r="F4039" s="597">
        <f t="shared" ref="F4039:G4039" si="3091">E4039*1.1</f>
        <v>1650000.0000000002</v>
      </c>
      <c r="G4039" s="597">
        <f t="shared" si="3091"/>
        <v>1815000.0000000005</v>
      </c>
      <c r="H4039" s="132"/>
    </row>
    <row r="4040" spans="1:8" s="307" customFormat="1" ht="15.75" outlineLevel="2">
      <c r="A4040" s="492"/>
      <c r="B4040" s="492"/>
      <c r="C4040" s="643" t="s">
        <v>1068</v>
      </c>
      <c r="D4040" s="644"/>
      <c r="E4040" s="642">
        <f>E4036+E4034</f>
        <v>9830133</v>
      </c>
      <c r="F4040" s="597">
        <f t="shared" ref="F4040:G4040" si="3092">E4040*1.1</f>
        <v>10813146.300000001</v>
      </c>
      <c r="G4040" s="597">
        <f t="shared" si="3092"/>
        <v>11894460.930000002</v>
      </c>
      <c r="H4040" s="132"/>
    </row>
    <row r="4041" spans="1:8" s="307" customFormat="1" ht="15.75" outlineLevel="1">
      <c r="A4041" s="494"/>
      <c r="B4041" s="494"/>
      <c r="C4041" s="643" t="s">
        <v>80</v>
      </c>
      <c r="D4041" s="658"/>
      <c r="E4041" s="642">
        <f>E4031+E4040</f>
        <v>23528450.48</v>
      </c>
      <c r="F4041" s="597">
        <f t="shared" ref="F4041:G4041" si="3093">E4041*1.1</f>
        <v>25881295.528000001</v>
      </c>
      <c r="G4041" s="597">
        <f t="shared" si="3093"/>
        <v>28469425.080800004</v>
      </c>
      <c r="H4041" s="132"/>
    </row>
    <row r="4042" spans="1:8" s="307" customFormat="1" ht="15.75" outlineLevel="1">
      <c r="A4042" s="494"/>
      <c r="B4042" s="494"/>
      <c r="C4042" s="643"/>
      <c r="D4042" s="644"/>
      <c r="E4042" s="642"/>
      <c r="F4042" s="597">
        <f t="shared" ref="F4042:G4042" si="3094">E4042*1.1</f>
        <v>0</v>
      </c>
      <c r="G4042" s="597">
        <f t="shared" si="3094"/>
        <v>0</v>
      </c>
      <c r="H4042" s="132"/>
    </row>
    <row r="4043" spans="1:8" s="307" customFormat="1" ht="15.75" outlineLevel="1">
      <c r="A4043" s="494"/>
      <c r="B4043" s="494"/>
      <c r="C4043" s="443" t="s">
        <v>1045</v>
      </c>
      <c r="D4043" s="492"/>
      <c r="E4043" s="645">
        <v>0</v>
      </c>
      <c r="F4043" s="597">
        <f t="shared" ref="F4043:G4043" si="3095">E4043*1.1</f>
        <v>0</v>
      </c>
      <c r="G4043" s="597">
        <f t="shared" si="3095"/>
        <v>0</v>
      </c>
      <c r="H4043" s="132"/>
    </row>
    <row r="4044" spans="1:8" s="307" customFormat="1" ht="15.75" outlineLevel="1">
      <c r="A4044" s="494"/>
      <c r="B4044" s="494"/>
      <c r="C4044" s="443" t="s">
        <v>1069</v>
      </c>
      <c r="D4044" s="492"/>
      <c r="E4044" s="645">
        <v>0</v>
      </c>
      <c r="F4044" s="597">
        <f t="shared" ref="F4044:G4044" si="3096">E4044*1.1</f>
        <v>0</v>
      </c>
      <c r="G4044" s="597">
        <f t="shared" si="3096"/>
        <v>0</v>
      </c>
      <c r="H4044" s="132"/>
    </row>
    <row r="4045" spans="1:8" s="307" customFormat="1" ht="15.75" outlineLevel="1">
      <c r="A4045" s="494"/>
      <c r="B4045" s="494"/>
      <c r="C4045" s="656" t="s">
        <v>1070</v>
      </c>
      <c r="D4045" s="657"/>
      <c r="E4045" s="645">
        <v>0</v>
      </c>
      <c r="F4045" s="597">
        <f t="shared" ref="F4045:G4045" si="3097">E4045*1.1</f>
        <v>0</v>
      </c>
      <c r="G4045" s="597">
        <f t="shared" si="3097"/>
        <v>0</v>
      </c>
      <c r="H4045" s="132"/>
    </row>
    <row r="4046" spans="1:8" s="307" customFormat="1" ht="15.75" outlineLevel="3">
      <c r="A4046" s="494"/>
      <c r="B4046" s="494"/>
      <c r="C4046" s="646">
        <v>2210200</v>
      </c>
      <c r="D4046" s="647" t="s">
        <v>19</v>
      </c>
      <c r="E4046" s="642">
        <f>SUM(E4047:E4049)</f>
        <v>250000</v>
      </c>
      <c r="F4046" s="597">
        <f t="shared" ref="F4046:G4046" si="3098">E4046*1.1</f>
        <v>275000</v>
      </c>
      <c r="G4046" s="597">
        <f t="shared" si="3098"/>
        <v>302500</v>
      </c>
      <c r="H4046" s="132"/>
    </row>
    <row r="4047" spans="1:8" s="307" customFormat="1" ht="15.75" outlineLevel="3">
      <c r="A4047" s="494"/>
      <c r="B4047" s="494"/>
      <c r="C4047" s="648">
        <v>2210201</v>
      </c>
      <c r="D4047" s="649" t="s">
        <v>236</v>
      </c>
      <c r="E4047" s="650">
        <v>100000</v>
      </c>
      <c r="F4047" s="597">
        <f t="shared" ref="F4047:G4047" si="3099">E4047*1.1</f>
        <v>110000.00000000001</v>
      </c>
      <c r="G4047" s="597">
        <f t="shared" si="3099"/>
        <v>121000.00000000003</v>
      </c>
      <c r="H4047" s="132"/>
    </row>
    <row r="4048" spans="1:8" s="307" customFormat="1" ht="15.75" outlineLevel="3">
      <c r="A4048" s="494"/>
      <c r="B4048" s="494"/>
      <c r="C4048" s="648">
        <v>2210202</v>
      </c>
      <c r="D4048" s="649" t="s">
        <v>439</v>
      </c>
      <c r="E4048" s="650">
        <f>200000-100000</f>
        <v>100000</v>
      </c>
      <c r="F4048" s="597">
        <f t="shared" ref="F4048:G4048" si="3100">E4048*1.1</f>
        <v>110000.00000000001</v>
      </c>
      <c r="G4048" s="597">
        <f t="shared" si="3100"/>
        <v>121000.00000000003</v>
      </c>
      <c r="H4048" s="132"/>
    </row>
    <row r="4049" spans="1:8" s="307" customFormat="1" ht="15.75" outlineLevel="3">
      <c r="A4049" s="494"/>
      <c r="B4049" s="494"/>
      <c r="C4049" s="648">
        <v>2210203</v>
      </c>
      <c r="D4049" s="649" t="s">
        <v>22</v>
      </c>
      <c r="E4049" s="650">
        <v>50000</v>
      </c>
      <c r="F4049" s="597">
        <f t="shared" ref="F4049:G4049" si="3101">E4049*1.1</f>
        <v>55000.000000000007</v>
      </c>
      <c r="G4049" s="597">
        <f t="shared" si="3101"/>
        <v>60500.000000000015</v>
      </c>
      <c r="H4049" s="132"/>
    </row>
    <row r="4050" spans="1:8" s="307" customFormat="1" ht="30" outlineLevel="3">
      <c r="A4050" s="494"/>
      <c r="B4050" s="494"/>
      <c r="C4050" s="646">
        <v>2210300</v>
      </c>
      <c r="D4050" s="647" t="s">
        <v>23</v>
      </c>
      <c r="E4050" s="642">
        <f>SUM(E4051:E4053)</f>
        <v>1500000</v>
      </c>
      <c r="F4050" s="597">
        <f t="shared" ref="F4050:G4050" si="3102">E4050*1.1</f>
        <v>1650000.0000000002</v>
      </c>
      <c r="G4050" s="597">
        <f t="shared" si="3102"/>
        <v>1815000.0000000005</v>
      </c>
      <c r="H4050" s="132"/>
    </row>
    <row r="4051" spans="1:8" s="307" customFormat="1" ht="15.75" outlineLevel="3">
      <c r="A4051" s="494"/>
      <c r="B4051" s="494"/>
      <c r="C4051" s="648">
        <v>2210301</v>
      </c>
      <c r="D4051" s="649" t="s">
        <v>208</v>
      </c>
      <c r="E4051" s="650">
        <v>300000</v>
      </c>
      <c r="F4051" s="597">
        <f t="shared" ref="F4051:G4051" si="3103">E4051*1.1</f>
        <v>330000</v>
      </c>
      <c r="G4051" s="597">
        <f t="shared" si="3103"/>
        <v>363000.00000000006</v>
      </c>
      <c r="H4051" s="132"/>
    </row>
    <row r="4052" spans="1:8" s="307" customFormat="1" ht="15.75" outlineLevel="3">
      <c r="A4052" s="494"/>
      <c r="B4052" s="494"/>
      <c r="C4052" s="648">
        <v>2210302</v>
      </c>
      <c r="D4052" s="649" t="s">
        <v>25</v>
      </c>
      <c r="E4052" s="650">
        <v>200000</v>
      </c>
      <c r="F4052" s="597">
        <f t="shared" ref="F4052:G4052" si="3104">E4052*1.1</f>
        <v>220000.00000000003</v>
      </c>
      <c r="G4052" s="597">
        <f t="shared" si="3104"/>
        <v>242000.00000000006</v>
      </c>
      <c r="H4052" s="132"/>
    </row>
    <row r="4053" spans="1:8" s="307" customFormat="1" ht="15.75" outlineLevel="3">
      <c r="A4053" s="494"/>
      <c r="B4053" s="494"/>
      <c r="C4053" s="648">
        <v>2210303</v>
      </c>
      <c r="D4053" s="649" t="s">
        <v>259</v>
      </c>
      <c r="E4053" s="650">
        <v>1000000</v>
      </c>
      <c r="F4053" s="597">
        <f t="shared" ref="F4053:G4053" si="3105">E4053*1.1</f>
        <v>1100000</v>
      </c>
      <c r="G4053" s="597">
        <f t="shared" si="3105"/>
        <v>1210000</v>
      </c>
      <c r="H4053" s="132"/>
    </row>
    <row r="4054" spans="1:8" s="307" customFormat="1" ht="15.75" outlineLevel="3">
      <c r="A4054" s="494"/>
      <c r="B4054" s="494"/>
      <c r="C4054" s="646">
        <v>2210500</v>
      </c>
      <c r="D4054" s="647" t="s">
        <v>30</v>
      </c>
      <c r="E4054" s="642">
        <f>SUM(E4055:E4057)</f>
        <v>700000</v>
      </c>
      <c r="F4054" s="597">
        <f t="shared" ref="F4054:G4054" si="3106">E4054*1.1</f>
        <v>770000.00000000012</v>
      </c>
      <c r="G4054" s="597">
        <f t="shared" si="3106"/>
        <v>847000.00000000023</v>
      </c>
      <c r="H4054" s="132"/>
    </row>
    <row r="4055" spans="1:8" s="307" customFormat="1" ht="15.75" outlineLevel="3">
      <c r="A4055" s="494"/>
      <c r="B4055" s="494"/>
      <c r="C4055" s="648">
        <v>2210502</v>
      </c>
      <c r="D4055" s="649" t="s">
        <v>162</v>
      </c>
      <c r="E4055" s="650">
        <v>300000</v>
      </c>
      <c r="F4055" s="597">
        <f t="shared" ref="F4055:G4055" si="3107">E4055*1.1</f>
        <v>330000</v>
      </c>
      <c r="G4055" s="597">
        <f t="shared" si="3107"/>
        <v>363000.00000000006</v>
      </c>
      <c r="H4055" s="132"/>
    </row>
    <row r="4056" spans="1:8" s="307" customFormat="1" ht="15.75" outlineLevel="3">
      <c r="A4056" s="494"/>
      <c r="B4056" s="494"/>
      <c r="C4056" s="648">
        <v>2210503</v>
      </c>
      <c r="D4056" s="649" t="s">
        <v>31</v>
      </c>
      <c r="E4056" s="650">
        <v>200000</v>
      </c>
      <c r="F4056" s="597">
        <f t="shared" ref="F4056:G4056" si="3108">E4056*1.1</f>
        <v>220000.00000000003</v>
      </c>
      <c r="G4056" s="597">
        <f t="shared" si="3108"/>
        <v>242000.00000000006</v>
      </c>
      <c r="H4056" s="132"/>
    </row>
    <row r="4057" spans="1:8" s="307" customFormat="1" ht="15.75" outlineLevel="3">
      <c r="A4057" s="494"/>
      <c r="B4057" s="494"/>
      <c r="C4057" s="648">
        <v>2210504</v>
      </c>
      <c r="D4057" s="649" t="s">
        <v>32</v>
      </c>
      <c r="E4057" s="650">
        <v>200000</v>
      </c>
      <c r="F4057" s="597">
        <f t="shared" ref="F4057:G4057" si="3109">E4057*1.1</f>
        <v>220000.00000000003</v>
      </c>
      <c r="G4057" s="597">
        <f t="shared" si="3109"/>
        <v>242000.00000000006</v>
      </c>
      <c r="H4057" s="132"/>
    </row>
    <row r="4058" spans="1:8" s="307" customFormat="1" ht="15.75" outlineLevel="3">
      <c r="A4058" s="494"/>
      <c r="B4058" s="494"/>
      <c r="C4058" s="646">
        <v>2210700</v>
      </c>
      <c r="D4058" s="647" t="s">
        <v>34</v>
      </c>
      <c r="E4058" s="642">
        <f>SUM(E4059:E4061)</f>
        <v>1050000</v>
      </c>
      <c r="F4058" s="597">
        <f t="shared" ref="F4058:G4058" si="3110">E4058*1.1</f>
        <v>1155000</v>
      </c>
      <c r="G4058" s="597">
        <f t="shared" si="3110"/>
        <v>1270500</v>
      </c>
      <c r="H4058" s="132"/>
    </row>
    <row r="4059" spans="1:8" s="307" customFormat="1" ht="15.75" outlineLevel="3">
      <c r="A4059" s="494"/>
      <c r="B4059" s="494"/>
      <c r="C4059" s="648">
        <v>2210701</v>
      </c>
      <c r="D4059" s="649" t="s">
        <v>210</v>
      </c>
      <c r="E4059" s="650">
        <v>200000</v>
      </c>
      <c r="F4059" s="597">
        <f t="shared" ref="F4059:G4059" si="3111">E4059*1.1</f>
        <v>220000.00000000003</v>
      </c>
      <c r="G4059" s="597">
        <f t="shared" si="3111"/>
        <v>242000.00000000006</v>
      </c>
      <c r="H4059" s="132"/>
    </row>
    <row r="4060" spans="1:8" s="307" customFormat="1" ht="15.75" outlineLevel="3">
      <c r="A4060" s="494"/>
      <c r="B4060" s="494"/>
      <c r="C4060" s="648">
        <v>2210704</v>
      </c>
      <c r="D4060" s="649" t="s">
        <v>37</v>
      </c>
      <c r="E4060" s="650">
        <v>50000</v>
      </c>
      <c r="F4060" s="597">
        <f t="shared" ref="F4060:G4060" si="3112">E4060*1.1</f>
        <v>55000.000000000007</v>
      </c>
      <c r="G4060" s="597">
        <f t="shared" si="3112"/>
        <v>60500.000000000015</v>
      </c>
      <c r="H4060" s="132"/>
    </row>
    <row r="4061" spans="1:8" s="307" customFormat="1" ht="15.75" outlineLevel="3">
      <c r="A4061" s="494"/>
      <c r="B4061" s="494"/>
      <c r="C4061" s="648">
        <v>2210710</v>
      </c>
      <c r="D4061" s="649" t="s">
        <v>449</v>
      </c>
      <c r="E4061" s="650">
        <v>800000</v>
      </c>
      <c r="F4061" s="597">
        <f t="shared" ref="F4061:G4061" si="3113">E4061*1.1</f>
        <v>880000.00000000012</v>
      </c>
      <c r="G4061" s="597">
        <f t="shared" si="3113"/>
        <v>968000.00000000023</v>
      </c>
      <c r="H4061" s="132"/>
    </row>
    <row r="4062" spans="1:8" s="307" customFormat="1" ht="15.75" outlineLevel="3">
      <c r="A4062" s="494"/>
      <c r="B4062" s="494"/>
      <c r="C4062" s="646">
        <v>2211100</v>
      </c>
      <c r="D4062" s="647" t="s">
        <v>49</v>
      </c>
      <c r="E4062" s="642">
        <f>SUM(E4063:E4065)</f>
        <v>1700000</v>
      </c>
      <c r="F4062" s="597">
        <f t="shared" ref="F4062:G4062" si="3114">E4062*1.1</f>
        <v>1870000.0000000002</v>
      </c>
      <c r="G4062" s="597">
        <f t="shared" si="3114"/>
        <v>2057000.0000000005</v>
      </c>
      <c r="H4062" s="132"/>
    </row>
    <row r="4063" spans="1:8" s="307" customFormat="1" ht="30" outlineLevel="3">
      <c r="A4063" s="494"/>
      <c r="B4063" s="494"/>
      <c r="C4063" s="648">
        <v>2211101</v>
      </c>
      <c r="D4063" s="649" t="s">
        <v>1035</v>
      </c>
      <c r="E4063" s="650">
        <v>450000</v>
      </c>
      <c r="F4063" s="597">
        <f t="shared" ref="F4063:G4063" si="3115">E4063*1.1</f>
        <v>495000.00000000006</v>
      </c>
      <c r="G4063" s="597">
        <f t="shared" si="3115"/>
        <v>544500.00000000012</v>
      </c>
      <c r="H4063" s="132"/>
    </row>
    <row r="4064" spans="1:8" s="307" customFormat="1" ht="15.75" outlineLevel="3">
      <c r="A4064" s="494"/>
      <c r="B4064" s="494"/>
      <c r="C4064" s="648">
        <v>2211102</v>
      </c>
      <c r="D4064" s="649" t="s">
        <v>51</v>
      </c>
      <c r="E4064" s="650">
        <v>900000</v>
      </c>
      <c r="F4064" s="597">
        <f t="shared" ref="F4064:G4064" si="3116">E4064*1.1</f>
        <v>990000.00000000012</v>
      </c>
      <c r="G4064" s="597">
        <f t="shared" si="3116"/>
        <v>1089000.0000000002</v>
      </c>
      <c r="H4064" s="132"/>
    </row>
    <row r="4065" spans="1:8" s="307" customFormat="1" ht="15.75" outlineLevel="3">
      <c r="A4065" s="494"/>
      <c r="B4065" s="494"/>
      <c r="C4065" s="648">
        <v>2211103</v>
      </c>
      <c r="D4065" s="649" t="s">
        <v>52</v>
      </c>
      <c r="E4065" s="650">
        <v>350000</v>
      </c>
      <c r="F4065" s="597">
        <f t="shared" ref="F4065:G4065" si="3117">E4065*1.1</f>
        <v>385000.00000000006</v>
      </c>
      <c r="G4065" s="597">
        <f t="shared" si="3117"/>
        <v>423500.00000000012</v>
      </c>
      <c r="H4065" s="132"/>
    </row>
    <row r="4066" spans="1:8" s="307" customFormat="1" ht="15.75" outlineLevel="3">
      <c r="A4066" s="494"/>
      <c r="B4066" s="494"/>
      <c r="C4066" s="646">
        <v>2211300</v>
      </c>
      <c r="D4066" s="647" t="s">
        <v>55</v>
      </c>
      <c r="E4066" s="642">
        <f>SUM(E4067:E4068)</f>
        <v>1380000</v>
      </c>
      <c r="F4066" s="597">
        <f t="shared" ref="F4066:G4066" si="3118">E4066*1.1</f>
        <v>1518000.0000000002</v>
      </c>
      <c r="G4066" s="597">
        <f t="shared" si="3118"/>
        <v>1669800.0000000005</v>
      </c>
      <c r="H4066" s="132"/>
    </row>
    <row r="4067" spans="1:8" s="307" customFormat="1" ht="30" outlineLevel="3">
      <c r="A4067" s="494"/>
      <c r="B4067" s="494"/>
      <c r="C4067" s="648">
        <v>2211306</v>
      </c>
      <c r="D4067" s="649" t="s">
        <v>57</v>
      </c>
      <c r="E4067" s="650">
        <v>200000</v>
      </c>
      <c r="F4067" s="597">
        <f t="shared" ref="F4067:G4067" si="3119">E4067*1.1</f>
        <v>220000.00000000003</v>
      </c>
      <c r="G4067" s="597">
        <f t="shared" si="3119"/>
        <v>242000.00000000006</v>
      </c>
      <c r="H4067" s="132"/>
    </row>
    <row r="4068" spans="1:8" s="307" customFormat="1" ht="15.75" outlineLevel="3">
      <c r="A4068" s="494"/>
      <c r="B4068" s="494"/>
      <c r="C4068" s="648">
        <v>2211399</v>
      </c>
      <c r="D4068" s="649" t="s">
        <v>1071</v>
      </c>
      <c r="E4068" s="650">
        <v>1180000</v>
      </c>
      <c r="F4068" s="597">
        <f t="shared" ref="F4068:G4068" si="3120">E4068*1.1</f>
        <v>1298000</v>
      </c>
      <c r="G4068" s="597">
        <f t="shared" si="3120"/>
        <v>1427800</v>
      </c>
      <c r="H4068" s="132"/>
    </row>
    <row r="4069" spans="1:8" s="307" customFormat="1" ht="15.75" outlineLevel="3">
      <c r="A4069" s="494"/>
      <c r="B4069" s="494"/>
      <c r="C4069" s="646">
        <v>2211200</v>
      </c>
      <c r="D4069" s="647" t="s">
        <v>53</v>
      </c>
      <c r="E4069" s="642">
        <f>E4070</f>
        <v>1200000</v>
      </c>
      <c r="F4069" s="597">
        <f t="shared" ref="F4069:G4069" si="3121">E4069*1.1</f>
        <v>1320000</v>
      </c>
      <c r="G4069" s="597">
        <f t="shared" si="3121"/>
        <v>1452000.0000000002</v>
      </c>
      <c r="H4069" s="132"/>
    </row>
    <row r="4070" spans="1:8" s="307" customFormat="1" ht="15.75" outlineLevel="3">
      <c r="A4070" s="494"/>
      <c r="B4070" s="494"/>
      <c r="C4070" s="648">
        <v>2211201</v>
      </c>
      <c r="D4070" s="649" t="s">
        <v>91</v>
      </c>
      <c r="E4070" s="650">
        <v>1200000</v>
      </c>
      <c r="F4070" s="597">
        <f t="shared" ref="F4070:G4070" si="3122">E4070*1.1</f>
        <v>1320000</v>
      </c>
      <c r="G4070" s="597">
        <f t="shared" si="3122"/>
        <v>1452000.0000000002</v>
      </c>
      <c r="H4070" s="132"/>
    </row>
    <row r="4071" spans="1:8" s="307" customFormat="1" ht="30" outlineLevel="3">
      <c r="A4071" s="494"/>
      <c r="B4071" s="494"/>
      <c r="C4071" s="646">
        <v>2220100</v>
      </c>
      <c r="D4071" s="647" t="s">
        <v>61</v>
      </c>
      <c r="E4071" s="642">
        <f>SUM(E4072:E4073)</f>
        <v>292600</v>
      </c>
      <c r="F4071" s="597">
        <f t="shared" ref="F4071:G4071" si="3123">E4071*1.1</f>
        <v>321860</v>
      </c>
      <c r="G4071" s="597">
        <f t="shared" si="3123"/>
        <v>354046</v>
      </c>
      <c r="H4071" s="132"/>
    </row>
    <row r="4072" spans="1:8" s="307" customFormat="1" ht="15.75" outlineLevel="3">
      <c r="A4072" s="494"/>
      <c r="B4072" s="494"/>
      <c r="C4072" s="648">
        <v>2220101</v>
      </c>
      <c r="D4072" s="649" t="s">
        <v>441</v>
      </c>
      <c r="E4072" s="650">
        <v>192600</v>
      </c>
      <c r="F4072" s="597">
        <f t="shared" ref="F4072:G4072" si="3124">E4072*1.1</f>
        <v>211860.00000000003</v>
      </c>
      <c r="G4072" s="597">
        <f t="shared" si="3124"/>
        <v>233046.00000000006</v>
      </c>
      <c r="H4072" s="132"/>
    </row>
    <row r="4073" spans="1:8" s="307" customFormat="1" ht="15.75" outlineLevel="3">
      <c r="A4073" s="494"/>
      <c r="B4073" s="494"/>
      <c r="C4073" s="648">
        <v>2220105</v>
      </c>
      <c r="D4073" s="649" t="s">
        <v>225</v>
      </c>
      <c r="E4073" s="650">
        <v>100000</v>
      </c>
      <c r="F4073" s="597">
        <f t="shared" ref="F4073:G4073" si="3125">E4073*1.1</f>
        <v>110000.00000000001</v>
      </c>
      <c r="G4073" s="597">
        <f t="shared" si="3125"/>
        <v>121000.00000000003</v>
      </c>
      <c r="H4073" s="132"/>
    </row>
    <row r="4074" spans="1:8" s="307" customFormat="1" ht="15.75" outlineLevel="2">
      <c r="A4074" s="494"/>
      <c r="B4074" s="494"/>
      <c r="C4074" s="643" t="s">
        <v>1072</v>
      </c>
      <c r="D4074" s="644"/>
      <c r="E4074" s="642">
        <f>E4046+E4050+E4054+E4058+E4062+E4066+E4069+E4071</f>
        <v>8072600</v>
      </c>
      <c r="F4074" s="597">
        <f t="shared" ref="F4074:G4074" si="3126">E4074*1.1</f>
        <v>8879860</v>
      </c>
      <c r="G4074" s="597">
        <f t="shared" si="3126"/>
        <v>9767846</v>
      </c>
      <c r="H4074" s="132"/>
    </row>
    <row r="4075" spans="1:8" s="307" customFormat="1" ht="15.75" outlineLevel="2">
      <c r="A4075" s="494"/>
      <c r="B4075" s="494"/>
      <c r="C4075" s="643"/>
      <c r="D4075" s="658"/>
      <c r="E4075" s="642">
        <v>0</v>
      </c>
      <c r="F4075" s="597">
        <f t="shared" ref="F4075:G4075" si="3127">E4075*1.1</f>
        <v>0</v>
      </c>
      <c r="G4075" s="597">
        <f t="shared" si="3127"/>
        <v>0</v>
      </c>
      <c r="H4075" s="132"/>
    </row>
    <row r="4076" spans="1:8" s="307" customFormat="1" ht="15.75" outlineLevel="2">
      <c r="A4076" s="494"/>
      <c r="B4076" s="494"/>
      <c r="C4076" s="643" t="s">
        <v>1073</v>
      </c>
      <c r="D4076" s="644"/>
      <c r="E4076" s="645">
        <v>0</v>
      </c>
      <c r="F4076" s="597">
        <f t="shared" ref="F4076:G4076" si="3128">E4076*1.1</f>
        <v>0</v>
      </c>
      <c r="G4076" s="597">
        <f t="shared" si="3128"/>
        <v>0</v>
      </c>
      <c r="H4076" s="132"/>
    </row>
    <row r="4077" spans="1:8" s="307" customFormat="1" ht="45" outlineLevel="3">
      <c r="A4077" s="494"/>
      <c r="B4077" s="494"/>
      <c r="C4077" s="646">
        <v>3111400</v>
      </c>
      <c r="D4077" s="647" t="s">
        <v>1074</v>
      </c>
      <c r="E4077" s="642">
        <f>SUM(E4078:E4082)</f>
        <v>19500000</v>
      </c>
      <c r="F4077" s="597">
        <f t="shared" ref="F4077:G4077" si="3129">E4077*1.1</f>
        <v>21450000</v>
      </c>
      <c r="G4077" s="597">
        <f t="shared" si="3129"/>
        <v>23595000.000000004</v>
      </c>
      <c r="H4077" s="132"/>
    </row>
    <row r="4078" spans="1:8" s="307" customFormat="1" ht="15.75" outlineLevel="3">
      <c r="A4078" s="494"/>
      <c r="B4078" s="494"/>
      <c r="C4078" s="648">
        <v>3111401</v>
      </c>
      <c r="D4078" s="494" t="s">
        <v>1075</v>
      </c>
      <c r="E4078" s="650">
        <v>3200000</v>
      </c>
      <c r="F4078" s="597">
        <f t="shared" ref="F4078:G4078" si="3130">E4078*1.1</f>
        <v>3520000.0000000005</v>
      </c>
      <c r="G4078" s="597">
        <f t="shared" si="3130"/>
        <v>3872000.0000000009</v>
      </c>
      <c r="H4078" s="132"/>
    </row>
    <row r="4079" spans="1:8" s="307" customFormat="1" ht="15.75" outlineLevel="3">
      <c r="A4079" s="494"/>
      <c r="B4079" s="494"/>
      <c r="C4079" s="648">
        <v>3111402</v>
      </c>
      <c r="D4079" s="494" t="s">
        <v>1076</v>
      </c>
      <c r="E4079" s="650">
        <v>3000000</v>
      </c>
      <c r="F4079" s="597">
        <f t="shared" ref="F4079:G4079" si="3131">E4079*1.1</f>
        <v>3300000.0000000005</v>
      </c>
      <c r="G4079" s="597">
        <f t="shared" si="3131"/>
        <v>3630000.0000000009</v>
      </c>
      <c r="H4079" s="132"/>
    </row>
    <row r="4080" spans="1:8" s="307" customFormat="1" ht="15.75" outlineLevel="3">
      <c r="A4080" s="494"/>
      <c r="B4080" s="494"/>
      <c r="C4080" s="648">
        <v>3111403</v>
      </c>
      <c r="D4080" s="494" t="s">
        <v>1077</v>
      </c>
      <c r="E4080" s="650">
        <v>5000000</v>
      </c>
      <c r="F4080" s="597">
        <f t="shared" ref="F4080:G4080" si="3132">E4080*1.1</f>
        <v>5500000</v>
      </c>
      <c r="G4080" s="597">
        <f t="shared" si="3132"/>
        <v>6050000.0000000009</v>
      </c>
      <c r="H4080" s="132"/>
    </row>
    <row r="4081" spans="1:8" s="307" customFormat="1" ht="15.75" outlineLevel="3">
      <c r="A4081" s="494"/>
      <c r="B4081" s="494"/>
      <c r="C4081" s="648">
        <v>3111403</v>
      </c>
      <c r="D4081" s="494" t="s">
        <v>1078</v>
      </c>
      <c r="E4081" s="650">
        <v>1000000</v>
      </c>
      <c r="F4081" s="597">
        <f t="shared" ref="F4081:G4081" si="3133">E4081*1.1</f>
        <v>1100000</v>
      </c>
      <c r="G4081" s="597">
        <f t="shared" si="3133"/>
        <v>1210000</v>
      </c>
      <c r="H4081" s="132"/>
    </row>
    <row r="4082" spans="1:8" s="307" customFormat="1" ht="15.75" outlineLevel="3">
      <c r="A4082" s="494"/>
      <c r="B4082" s="494"/>
      <c r="C4082" s="648">
        <v>3111404</v>
      </c>
      <c r="D4082" s="494" t="s">
        <v>1079</v>
      </c>
      <c r="E4082" s="650">
        <v>7300000</v>
      </c>
      <c r="F4082" s="597">
        <f t="shared" ref="F4082:G4082" si="3134">E4082*1.1</f>
        <v>8030000.0000000009</v>
      </c>
      <c r="G4082" s="597">
        <f t="shared" si="3134"/>
        <v>8833000.0000000019</v>
      </c>
      <c r="H4082" s="132"/>
    </row>
    <row r="4083" spans="1:8" s="307" customFormat="1" ht="15.75" outlineLevel="2">
      <c r="A4083" s="494"/>
      <c r="B4083" s="494"/>
      <c r="C4083" s="643" t="s">
        <v>1080</v>
      </c>
      <c r="D4083" s="644"/>
      <c r="E4083" s="642">
        <f>E4077</f>
        <v>19500000</v>
      </c>
      <c r="F4083" s="597">
        <f t="shared" ref="F4083:G4083" si="3135">E4083*1.1</f>
        <v>21450000</v>
      </c>
      <c r="G4083" s="597">
        <f t="shared" si="3135"/>
        <v>23595000.000000004</v>
      </c>
      <c r="H4083" s="132"/>
    </row>
    <row r="4084" spans="1:8" s="307" customFormat="1" ht="15.75" outlineLevel="1">
      <c r="A4084" s="494"/>
      <c r="B4084" s="494"/>
      <c r="C4084" s="643" t="s">
        <v>80</v>
      </c>
      <c r="D4084" s="658"/>
      <c r="E4084" s="642">
        <f>E4083+E4074</f>
        <v>27572600</v>
      </c>
      <c r="F4084" s="597">
        <f t="shared" ref="F4084:G4084" si="3136">E4084*1.1</f>
        <v>30329860.000000004</v>
      </c>
      <c r="G4084" s="597">
        <f t="shared" si="3136"/>
        <v>33362846.000000007</v>
      </c>
      <c r="H4084" s="132"/>
    </row>
    <row r="4085" spans="1:8" s="307" customFormat="1" ht="15.75" outlineLevel="1">
      <c r="A4085" s="494"/>
      <c r="B4085" s="494"/>
      <c r="C4085" s="643" t="s">
        <v>1081</v>
      </c>
      <c r="D4085" s="658"/>
      <c r="E4085" s="642">
        <f>E4084+E4041+E3992+E3944+E3919</f>
        <v>147558877.66</v>
      </c>
      <c r="F4085" s="597">
        <f t="shared" ref="F4085:G4085" si="3137">E4085*1.1</f>
        <v>162314765.426</v>
      </c>
      <c r="G4085" s="597">
        <f t="shared" si="3137"/>
        <v>178546241.9686</v>
      </c>
      <c r="H4085" s="132"/>
    </row>
    <row r="4086" spans="1:8" s="307" customFormat="1" ht="15.75" outlineLevel="1">
      <c r="A4086" s="494"/>
      <c r="B4086" s="494"/>
      <c r="C4086" s="643"/>
      <c r="D4086" s="658"/>
      <c r="E4086" s="642"/>
      <c r="F4086" s="597">
        <f t="shared" ref="F4086:G4086" si="3138">E4086*1.1</f>
        <v>0</v>
      </c>
      <c r="G4086" s="597">
        <f t="shared" si="3138"/>
        <v>0</v>
      </c>
      <c r="H4086" s="132"/>
    </row>
    <row r="4087" spans="1:8" s="307" customFormat="1" ht="15.75" outlineLevel="1">
      <c r="A4087" s="494"/>
      <c r="B4087" s="494"/>
      <c r="C4087" s="353" t="s">
        <v>1082</v>
      </c>
      <c r="D4087" s="652"/>
      <c r="E4087" s="651"/>
      <c r="F4087" s="597">
        <f t="shared" ref="F4087:G4087" si="3139">E4087*1.1</f>
        <v>0</v>
      </c>
      <c r="G4087" s="597">
        <f t="shared" si="3139"/>
        <v>0</v>
      </c>
      <c r="H4087" s="132"/>
    </row>
    <row r="4088" spans="1:8" s="307" customFormat="1" ht="15.75" outlineLevel="1">
      <c r="A4088" s="494"/>
      <c r="B4088" s="494"/>
      <c r="C4088" s="443" t="s">
        <v>1083</v>
      </c>
      <c r="D4088" s="492"/>
      <c r="E4088" s="651"/>
      <c r="F4088" s="597">
        <f t="shared" ref="F4088:G4088" si="3140">E4088*1.1</f>
        <v>0</v>
      </c>
      <c r="G4088" s="597">
        <f t="shared" si="3140"/>
        <v>0</v>
      </c>
      <c r="H4088" s="132"/>
    </row>
    <row r="4089" spans="1:8" s="307" customFormat="1" ht="15.75" outlineLevel="3">
      <c r="A4089" s="494"/>
      <c r="B4089" s="494"/>
      <c r="C4089" s="646">
        <v>2210200</v>
      </c>
      <c r="D4089" s="647" t="s">
        <v>19</v>
      </c>
      <c r="E4089" s="642">
        <f>SUM(E4090:E4092)</f>
        <v>550000</v>
      </c>
      <c r="F4089" s="597">
        <f t="shared" ref="F4089:G4089" si="3141">E4089*1.1</f>
        <v>605000</v>
      </c>
      <c r="G4089" s="597">
        <f t="shared" si="3141"/>
        <v>665500</v>
      </c>
      <c r="H4089" s="132"/>
    </row>
    <row r="4090" spans="1:8" s="307" customFormat="1" ht="15.75" outlineLevel="3">
      <c r="A4090" s="494"/>
      <c r="B4090" s="494"/>
      <c r="C4090" s="648">
        <v>2210201</v>
      </c>
      <c r="D4090" s="649" t="s">
        <v>236</v>
      </c>
      <c r="E4090" s="650">
        <v>300000</v>
      </c>
      <c r="F4090" s="597">
        <f t="shared" ref="F4090:G4090" si="3142">E4090*1.1</f>
        <v>330000</v>
      </c>
      <c r="G4090" s="597">
        <f t="shared" si="3142"/>
        <v>363000.00000000006</v>
      </c>
      <c r="H4090" s="132"/>
    </row>
    <row r="4091" spans="1:8" s="307" customFormat="1" ht="15.75" outlineLevel="3">
      <c r="A4091" s="494"/>
      <c r="B4091" s="494"/>
      <c r="C4091" s="648">
        <v>2210202</v>
      </c>
      <c r="D4091" s="649" t="s">
        <v>439</v>
      </c>
      <c r="E4091" s="650">
        <v>200000</v>
      </c>
      <c r="F4091" s="597">
        <f t="shared" ref="F4091:G4091" si="3143">E4091*1.1</f>
        <v>220000.00000000003</v>
      </c>
      <c r="G4091" s="597">
        <f t="shared" si="3143"/>
        <v>242000.00000000006</v>
      </c>
      <c r="H4091" s="132"/>
    </row>
    <row r="4092" spans="1:8" s="307" customFormat="1" ht="15.75" outlineLevel="3">
      <c r="A4092" s="494"/>
      <c r="B4092" s="494"/>
      <c r="C4092" s="648">
        <v>2210203</v>
      </c>
      <c r="D4092" s="649" t="s">
        <v>22</v>
      </c>
      <c r="E4092" s="650">
        <v>50000</v>
      </c>
      <c r="F4092" s="597">
        <f t="shared" ref="F4092:G4092" si="3144">E4092*1.1</f>
        <v>55000.000000000007</v>
      </c>
      <c r="G4092" s="597">
        <f t="shared" si="3144"/>
        <v>60500.000000000015</v>
      </c>
      <c r="H4092" s="132"/>
    </row>
    <row r="4093" spans="1:8" s="307" customFormat="1" ht="30" outlineLevel="3">
      <c r="A4093" s="494"/>
      <c r="B4093" s="494"/>
      <c r="C4093" s="646">
        <v>2210300</v>
      </c>
      <c r="D4093" s="647" t="s">
        <v>23</v>
      </c>
      <c r="E4093" s="642">
        <f>SUM(E4094:E4096)</f>
        <v>1724466</v>
      </c>
      <c r="F4093" s="597">
        <f t="shared" ref="F4093:G4093" si="3145">E4093*1.1</f>
        <v>1896912.6</v>
      </c>
      <c r="G4093" s="597">
        <f t="shared" si="3145"/>
        <v>2086603.8600000003</v>
      </c>
      <c r="H4093" s="132"/>
    </row>
    <row r="4094" spans="1:8" s="307" customFormat="1" ht="15.75" outlineLevel="3">
      <c r="A4094" s="494"/>
      <c r="B4094" s="494"/>
      <c r="C4094" s="648">
        <v>2210301</v>
      </c>
      <c r="D4094" s="649" t="s">
        <v>208</v>
      </c>
      <c r="E4094" s="650">
        <v>300000</v>
      </c>
      <c r="F4094" s="597">
        <f t="shared" ref="F4094:G4094" si="3146">E4094*1.1</f>
        <v>330000</v>
      </c>
      <c r="G4094" s="597">
        <f t="shared" si="3146"/>
        <v>363000.00000000006</v>
      </c>
      <c r="H4094" s="132"/>
    </row>
    <row r="4095" spans="1:8" s="307" customFormat="1" ht="15.75" outlineLevel="3">
      <c r="A4095" s="494"/>
      <c r="B4095" s="494"/>
      <c r="C4095" s="648">
        <v>2210302</v>
      </c>
      <c r="D4095" s="649" t="s">
        <v>25</v>
      </c>
      <c r="E4095" s="650">
        <v>500000</v>
      </c>
      <c r="F4095" s="597">
        <f t="shared" ref="F4095:G4095" si="3147">E4095*1.1</f>
        <v>550000</v>
      </c>
      <c r="G4095" s="597">
        <f t="shared" si="3147"/>
        <v>605000</v>
      </c>
      <c r="H4095" s="132"/>
    </row>
    <row r="4096" spans="1:8" s="307" customFormat="1" ht="15.75" outlineLevel="3">
      <c r="A4096" s="494"/>
      <c r="B4096" s="494"/>
      <c r="C4096" s="661">
        <v>2210303</v>
      </c>
      <c r="D4096" s="649" t="s">
        <v>259</v>
      </c>
      <c r="E4096" s="662">
        <v>924466</v>
      </c>
      <c r="F4096" s="597">
        <f t="shared" ref="F4096:G4096" si="3148">E4096*1.1</f>
        <v>1016912.6000000001</v>
      </c>
      <c r="G4096" s="597">
        <f t="shared" si="3148"/>
        <v>1118603.8600000001</v>
      </c>
      <c r="H4096" s="132"/>
    </row>
    <row r="4097" spans="1:8" s="307" customFormat="1" ht="15.75" outlineLevel="3">
      <c r="A4097" s="494"/>
      <c r="B4097" s="494"/>
      <c r="C4097" s="646">
        <v>2210500</v>
      </c>
      <c r="D4097" s="647" t="s">
        <v>30</v>
      </c>
      <c r="E4097" s="642">
        <f>SUM(E4098:E4100)</f>
        <v>500000</v>
      </c>
      <c r="F4097" s="597">
        <f t="shared" ref="F4097:G4097" si="3149">E4097*1.1</f>
        <v>550000</v>
      </c>
      <c r="G4097" s="597">
        <f t="shared" si="3149"/>
        <v>605000</v>
      </c>
      <c r="H4097" s="132"/>
    </row>
    <row r="4098" spans="1:8" s="307" customFormat="1" ht="15.75" outlineLevel="3">
      <c r="A4098" s="494"/>
      <c r="B4098" s="494"/>
      <c r="C4098" s="648">
        <v>2210502</v>
      </c>
      <c r="D4098" s="649" t="s">
        <v>162</v>
      </c>
      <c r="E4098" s="650">
        <v>200000</v>
      </c>
      <c r="F4098" s="597">
        <f t="shared" ref="F4098:G4098" si="3150">E4098*1.1</f>
        <v>220000.00000000003</v>
      </c>
      <c r="G4098" s="597">
        <f t="shared" si="3150"/>
        <v>242000.00000000006</v>
      </c>
      <c r="H4098" s="132"/>
    </row>
    <row r="4099" spans="1:8" s="307" customFormat="1" ht="15.75" outlineLevel="3">
      <c r="A4099" s="494"/>
      <c r="B4099" s="494"/>
      <c r="C4099" s="648">
        <v>2210503</v>
      </c>
      <c r="D4099" s="649" t="s">
        <v>31</v>
      </c>
      <c r="E4099" s="650">
        <v>200000</v>
      </c>
      <c r="F4099" s="597">
        <f t="shared" ref="F4099:G4099" si="3151">E4099*1.1</f>
        <v>220000.00000000003</v>
      </c>
      <c r="G4099" s="597">
        <f t="shared" si="3151"/>
        <v>242000.00000000006</v>
      </c>
      <c r="H4099" s="132"/>
    </row>
    <row r="4100" spans="1:8" s="307" customFormat="1" ht="15.75" outlineLevel="3">
      <c r="A4100" s="494"/>
      <c r="B4100" s="494"/>
      <c r="C4100" s="648">
        <v>2210504</v>
      </c>
      <c r="D4100" s="649" t="s">
        <v>32</v>
      </c>
      <c r="E4100" s="650">
        <f>300000-200000</f>
        <v>100000</v>
      </c>
      <c r="F4100" s="597">
        <f t="shared" ref="F4100:G4100" si="3152">E4100*1.1</f>
        <v>110000.00000000001</v>
      </c>
      <c r="G4100" s="597">
        <f t="shared" si="3152"/>
        <v>121000.00000000003</v>
      </c>
      <c r="H4100" s="132"/>
    </row>
    <row r="4101" spans="1:8" s="307" customFormat="1" ht="15.75" outlineLevel="3">
      <c r="A4101" s="494"/>
      <c r="B4101" s="494"/>
      <c r="C4101" s="646">
        <v>2210700</v>
      </c>
      <c r="D4101" s="647" t="s">
        <v>34</v>
      </c>
      <c r="E4101" s="642">
        <f>SUM(E4102:E4104)</f>
        <v>900000</v>
      </c>
      <c r="F4101" s="597">
        <f t="shared" ref="F4101:G4101" si="3153">E4101*1.1</f>
        <v>990000.00000000012</v>
      </c>
      <c r="G4101" s="597">
        <f t="shared" si="3153"/>
        <v>1089000.0000000002</v>
      </c>
      <c r="H4101" s="132"/>
    </row>
    <row r="4102" spans="1:8" s="307" customFormat="1" ht="15.75" outlineLevel="3">
      <c r="A4102" s="494"/>
      <c r="B4102" s="494"/>
      <c r="C4102" s="648">
        <v>2210701</v>
      </c>
      <c r="D4102" s="649" t="s">
        <v>210</v>
      </c>
      <c r="E4102" s="650">
        <v>500000</v>
      </c>
      <c r="F4102" s="597">
        <f t="shared" ref="F4102:G4102" si="3154">E4102*1.1</f>
        <v>550000</v>
      </c>
      <c r="G4102" s="597">
        <f t="shared" si="3154"/>
        <v>605000</v>
      </c>
      <c r="H4102" s="132"/>
    </row>
    <row r="4103" spans="1:8" s="307" customFormat="1" ht="15.75" outlineLevel="3">
      <c r="A4103" s="494"/>
      <c r="B4103" s="494"/>
      <c r="C4103" s="648">
        <v>2210704</v>
      </c>
      <c r="D4103" s="649" t="s">
        <v>37</v>
      </c>
      <c r="E4103" s="650">
        <v>200000</v>
      </c>
      <c r="F4103" s="597">
        <f t="shared" ref="F4103:G4103" si="3155">E4103*1.1</f>
        <v>220000.00000000003</v>
      </c>
      <c r="G4103" s="597">
        <f t="shared" si="3155"/>
        <v>242000.00000000006</v>
      </c>
      <c r="H4103" s="132"/>
    </row>
    <row r="4104" spans="1:8" s="307" customFormat="1" ht="15.75" outlineLevel="3">
      <c r="A4104" s="494"/>
      <c r="B4104" s="494"/>
      <c r="C4104" s="648">
        <v>2210710</v>
      </c>
      <c r="D4104" s="649" t="s">
        <v>449</v>
      </c>
      <c r="E4104" s="650">
        <v>200000</v>
      </c>
      <c r="F4104" s="597">
        <f t="shared" ref="F4104:G4104" si="3156">E4104*1.1</f>
        <v>220000.00000000003</v>
      </c>
      <c r="G4104" s="597">
        <f t="shared" si="3156"/>
        <v>242000.00000000006</v>
      </c>
      <c r="H4104" s="132"/>
    </row>
    <row r="4105" spans="1:8" s="307" customFormat="1" ht="15.75" outlineLevel="3">
      <c r="A4105" s="494"/>
      <c r="B4105" s="494"/>
      <c r="C4105" s="646">
        <v>2210800</v>
      </c>
      <c r="D4105" s="647" t="s">
        <v>41</v>
      </c>
      <c r="E4105" s="642">
        <f>E4106</f>
        <v>214194</v>
      </c>
      <c r="F4105" s="597">
        <f t="shared" ref="F4105:G4105" si="3157">E4105*1.1</f>
        <v>235613.40000000002</v>
      </c>
      <c r="G4105" s="597">
        <f t="shared" si="3157"/>
        <v>259174.74000000005</v>
      </c>
      <c r="H4105" s="132"/>
    </row>
    <row r="4106" spans="1:8" s="307" customFormat="1" ht="45" outlineLevel="3">
      <c r="A4106" s="494"/>
      <c r="B4106" s="494"/>
      <c r="C4106" s="648">
        <v>2210801</v>
      </c>
      <c r="D4106" s="649" t="s">
        <v>1033</v>
      </c>
      <c r="E4106" s="650">
        <v>214194</v>
      </c>
      <c r="F4106" s="597">
        <f t="shared" ref="F4106:G4106" si="3158">E4106*1.1</f>
        <v>235613.40000000002</v>
      </c>
      <c r="G4106" s="597">
        <f t="shared" si="3158"/>
        <v>259174.74000000005</v>
      </c>
      <c r="H4106" s="132"/>
    </row>
    <row r="4107" spans="1:8" s="307" customFormat="1" ht="15.75" outlineLevel="3">
      <c r="A4107" s="494"/>
      <c r="B4107" s="494"/>
      <c r="C4107" s="646">
        <v>2211100</v>
      </c>
      <c r="D4107" s="647" t="s">
        <v>49</v>
      </c>
      <c r="E4107" s="642">
        <f>SUM(E4108:E4110)</f>
        <v>2050000</v>
      </c>
      <c r="F4107" s="597">
        <f t="shared" ref="F4107:G4107" si="3159">E4107*1.1</f>
        <v>2255000</v>
      </c>
      <c r="G4107" s="597">
        <f t="shared" si="3159"/>
        <v>2480500</v>
      </c>
      <c r="H4107" s="132"/>
    </row>
    <row r="4108" spans="1:8" s="307" customFormat="1" ht="30" outlineLevel="3">
      <c r="A4108" s="494"/>
      <c r="B4108" s="494"/>
      <c r="C4108" s="648">
        <v>2211101</v>
      </c>
      <c r="D4108" s="649" t="s">
        <v>1035</v>
      </c>
      <c r="E4108" s="650">
        <f>400000+250000</f>
        <v>650000</v>
      </c>
      <c r="F4108" s="597">
        <f t="shared" ref="F4108:G4108" si="3160">E4108*1.1</f>
        <v>715000</v>
      </c>
      <c r="G4108" s="597">
        <f t="shared" si="3160"/>
        <v>786500.00000000012</v>
      </c>
      <c r="H4108" s="132"/>
    </row>
    <row r="4109" spans="1:8" s="307" customFormat="1" ht="15.75" outlineLevel="3">
      <c r="A4109" s="494"/>
      <c r="B4109" s="494"/>
      <c r="C4109" s="648">
        <v>2211102</v>
      </c>
      <c r="D4109" s="649" t="s">
        <v>51</v>
      </c>
      <c r="E4109" s="650">
        <v>900000</v>
      </c>
      <c r="F4109" s="597">
        <f t="shared" ref="F4109:G4109" si="3161">E4109*1.1</f>
        <v>990000.00000000012</v>
      </c>
      <c r="G4109" s="597">
        <f t="shared" si="3161"/>
        <v>1089000.0000000002</v>
      </c>
      <c r="H4109" s="132"/>
    </row>
    <row r="4110" spans="1:8" s="307" customFormat="1" ht="15.75" outlineLevel="3">
      <c r="A4110" s="494"/>
      <c r="B4110" s="494"/>
      <c r="C4110" s="648">
        <v>2211103</v>
      </c>
      <c r="D4110" s="649" t="s">
        <v>52</v>
      </c>
      <c r="E4110" s="650">
        <v>500000</v>
      </c>
      <c r="F4110" s="597">
        <f t="shared" ref="F4110:G4110" si="3162">E4110*1.1</f>
        <v>550000</v>
      </c>
      <c r="G4110" s="597">
        <f t="shared" si="3162"/>
        <v>605000</v>
      </c>
      <c r="H4110" s="132"/>
    </row>
    <row r="4111" spans="1:8" s="307" customFormat="1" ht="15.75" outlineLevel="3">
      <c r="A4111" s="494"/>
      <c r="B4111" s="494"/>
      <c r="C4111" s="646">
        <v>2211300</v>
      </c>
      <c r="D4111" s="647" t="s">
        <v>55</v>
      </c>
      <c r="E4111" s="642">
        <f>SUM(E4112:E4112)</f>
        <v>500000</v>
      </c>
      <c r="F4111" s="597">
        <f t="shared" ref="F4111:G4111" si="3163">E4111*1.1</f>
        <v>550000</v>
      </c>
      <c r="G4111" s="597">
        <f t="shared" si="3163"/>
        <v>605000</v>
      </c>
      <c r="H4111" s="132"/>
    </row>
    <row r="4112" spans="1:8" s="307" customFormat="1" ht="30" outlineLevel="3">
      <c r="A4112" s="494"/>
      <c r="B4112" s="494"/>
      <c r="C4112" s="648">
        <v>2211306</v>
      </c>
      <c r="D4112" s="649" t="s">
        <v>57</v>
      </c>
      <c r="E4112" s="650">
        <v>500000</v>
      </c>
      <c r="F4112" s="597">
        <f t="shared" ref="F4112:G4112" si="3164">E4112*1.1</f>
        <v>550000</v>
      </c>
      <c r="G4112" s="597">
        <f t="shared" si="3164"/>
        <v>605000</v>
      </c>
      <c r="H4112" s="132"/>
    </row>
    <row r="4113" spans="1:8" s="307" customFormat="1" ht="15.75" outlineLevel="3">
      <c r="A4113" s="494"/>
      <c r="B4113" s="494"/>
      <c r="C4113" s="646">
        <v>2211200</v>
      </c>
      <c r="D4113" s="647" t="s">
        <v>53</v>
      </c>
      <c r="E4113" s="642">
        <f>E4114</f>
        <v>1400000</v>
      </c>
      <c r="F4113" s="597">
        <f t="shared" ref="F4113:G4113" si="3165">E4113*1.1</f>
        <v>1540000.0000000002</v>
      </c>
      <c r="G4113" s="597">
        <f t="shared" si="3165"/>
        <v>1694000.0000000005</v>
      </c>
      <c r="H4113" s="132"/>
    </row>
    <row r="4114" spans="1:8" s="307" customFormat="1" ht="15.75" outlineLevel="3">
      <c r="A4114" s="494"/>
      <c r="B4114" s="494"/>
      <c r="C4114" s="648">
        <v>2211201</v>
      </c>
      <c r="D4114" s="649" t="s">
        <v>91</v>
      </c>
      <c r="E4114" s="650">
        <v>1400000</v>
      </c>
      <c r="F4114" s="597">
        <f t="shared" ref="F4114:G4114" si="3166">E4114*1.1</f>
        <v>1540000.0000000002</v>
      </c>
      <c r="G4114" s="597">
        <f t="shared" si="3166"/>
        <v>1694000.0000000005</v>
      </c>
      <c r="H4114" s="132"/>
    </row>
    <row r="4115" spans="1:8" s="307" customFormat="1" ht="30" outlineLevel="3">
      <c r="A4115" s="494"/>
      <c r="B4115" s="494"/>
      <c r="C4115" s="646">
        <v>2220100</v>
      </c>
      <c r="D4115" s="647" t="s">
        <v>61</v>
      </c>
      <c r="E4115" s="642">
        <f>SUM(E4116:E4117)</f>
        <v>300000</v>
      </c>
      <c r="F4115" s="597">
        <f t="shared" ref="F4115:G4115" si="3167">E4115*1.1</f>
        <v>330000</v>
      </c>
      <c r="G4115" s="597">
        <f t="shared" si="3167"/>
        <v>363000.00000000006</v>
      </c>
      <c r="H4115" s="132"/>
    </row>
    <row r="4116" spans="1:8" s="307" customFormat="1" ht="15.75" outlineLevel="3">
      <c r="A4116" s="494"/>
      <c r="B4116" s="494"/>
      <c r="C4116" s="648">
        <v>2220101</v>
      </c>
      <c r="D4116" s="649" t="s">
        <v>441</v>
      </c>
      <c r="E4116" s="650">
        <v>150000</v>
      </c>
      <c r="F4116" s="597">
        <f t="shared" ref="F4116:G4116" si="3168">E4116*1.1</f>
        <v>165000</v>
      </c>
      <c r="G4116" s="597">
        <f t="shared" si="3168"/>
        <v>181500.00000000003</v>
      </c>
      <c r="H4116" s="132"/>
    </row>
    <row r="4117" spans="1:8" s="307" customFormat="1" ht="15.75" outlineLevel="3">
      <c r="A4117" s="494"/>
      <c r="B4117" s="494"/>
      <c r="C4117" s="648">
        <v>2220105</v>
      </c>
      <c r="D4117" s="649" t="s">
        <v>225</v>
      </c>
      <c r="E4117" s="650">
        <v>150000</v>
      </c>
      <c r="F4117" s="597">
        <f t="shared" ref="F4117:G4117" si="3169">E4117*1.1</f>
        <v>165000</v>
      </c>
      <c r="G4117" s="597">
        <f t="shared" si="3169"/>
        <v>181500.00000000003</v>
      </c>
      <c r="H4117" s="132"/>
    </row>
    <row r="4118" spans="1:8" s="307" customFormat="1" ht="15.75" outlineLevel="2">
      <c r="A4118" s="494"/>
      <c r="B4118" s="494"/>
      <c r="C4118" s="469" t="s">
        <v>1084</v>
      </c>
      <c r="D4118" s="408"/>
      <c r="E4118" s="654">
        <f>E4089+E4093+E4097+E4101+E4105+E4107+E4111+E4113+E4115</f>
        <v>8138660</v>
      </c>
      <c r="F4118" s="597">
        <f t="shared" ref="F4118:G4118" si="3170">E4118*1.1</f>
        <v>8952526</v>
      </c>
      <c r="G4118" s="597">
        <f t="shared" si="3170"/>
        <v>9847778.6000000015</v>
      </c>
      <c r="H4118" s="132"/>
    </row>
    <row r="4119" spans="1:8" s="307" customFormat="1" ht="15.75" outlineLevel="2">
      <c r="A4119" s="494"/>
      <c r="B4119" s="494"/>
      <c r="C4119" s="469"/>
      <c r="D4119" s="408"/>
      <c r="E4119" s="654"/>
      <c r="F4119" s="597">
        <f t="shared" ref="F4119:G4119" si="3171">E4119*1.1</f>
        <v>0</v>
      </c>
      <c r="G4119" s="597">
        <f t="shared" si="3171"/>
        <v>0</v>
      </c>
      <c r="H4119" s="132"/>
    </row>
    <row r="4120" spans="1:8" s="307" customFormat="1" ht="15.75" outlineLevel="2">
      <c r="A4120" s="494"/>
      <c r="B4120" s="494"/>
      <c r="C4120" s="353" t="s">
        <v>1082</v>
      </c>
      <c r="D4120" s="408"/>
      <c r="E4120" s="654"/>
      <c r="F4120" s="597">
        <f t="shared" ref="F4120:G4120" si="3172">E4120*1.1</f>
        <v>0</v>
      </c>
      <c r="G4120" s="597">
        <f t="shared" si="3172"/>
        <v>0</v>
      </c>
      <c r="H4120" s="132"/>
    </row>
    <row r="4121" spans="1:8" s="307" customFormat="1" ht="15.75" outlineLevel="2">
      <c r="A4121" s="494"/>
      <c r="B4121" s="494"/>
      <c r="C4121" s="469"/>
      <c r="D4121" s="408" t="s">
        <v>184</v>
      </c>
      <c r="E4121" s="654"/>
      <c r="F4121" s="597">
        <f t="shared" ref="F4121:G4121" si="3173">E4121*1.1</f>
        <v>0</v>
      </c>
      <c r="G4121" s="597">
        <f t="shared" si="3173"/>
        <v>0</v>
      </c>
      <c r="H4121" s="132"/>
    </row>
    <row r="4122" spans="1:8" s="307" customFormat="1" ht="15.75" outlineLevel="3">
      <c r="A4122" s="494"/>
      <c r="B4122" s="494"/>
      <c r="C4122" s="646" t="s">
        <v>1085</v>
      </c>
      <c r="D4122" s="700" t="s">
        <v>55</v>
      </c>
      <c r="E4122" s="663">
        <f>E4123</f>
        <v>2000000</v>
      </c>
      <c r="F4122" s="597">
        <f t="shared" ref="F4122:G4122" si="3174">E4122*1.1</f>
        <v>2200000</v>
      </c>
      <c r="G4122" s="597">
        <f t="shared" si="3174"/>
        <v>2420000</v>
      </c>
      <c r="H4122" s="132"/>
    </row>
    <row r="4123" spans="1:8" s="307" customFormat="1" ht="30" outlineLevel="3">
      <c r="A4123" s="494"/>
      <c r="B4123" s="494"/>
      <c r="C4123" s="648" t="s">
        <v>1086</v>
      </c>
      <c r="D4123" s="494" t="s">
        <v>1087</v>
      </c>
      <c r="E4123" s="664">
        <v>2000000</v>
      </c>
      <c r="F4123" s="597">
        <f t="shared" ref="F4123:G4123" si="3175">E4123*1.1</f>
        <v>2200000</v>
      </c>
      <c r="G4123" s="597">
        <f t="shared" si="3175"/>
        <v>2420000</v>
      </c>
      <c r="H4123" s="132"/>
    </row>
    <row r="4124" spans="1:8" s="307" customFormat="1" ht="30" outlineLevel="3">
      <c r="A4124" s="492"/>
      <c r="B4124" s="492"/>
      <c r="C4124" s="484">
        <v>3111400</v>
      </c>
      <c r="D4124" s="653" t="s">
        <v>351</v>
      </c>
      <c r="E4124" s="642">
        <f>SUM(E4125:E4125)</f>
        <v>1000000</v>
      </c>
      <c r="F4124" s="597">
        <f t="shared" ref="F4124:G4124" si="3176">E4124*1.1</f>
        <v>1100000</v>
      </c>
      <c r="G4124" s="597">
        <f t="shared" si="3176"/>
        <v>1210000</v>
      </c>
      <c r="H4124" s="132"/>
    </row>
    <row r="4125" spans="1:8" s="307" customFormat="1" ht="15.75" outlineLevel="3">
      <c r="A4125" s="494"/>
      <c r="B4125" s="494"/>
      <c r="C4125" s="483">
        <v>3111403</v>
      </c>
      <c r="D4125" s="494" t="s">
        <v>1088</v>
      </c>
      <c r="E4125" s="664">
        <v>1000000</v>
      </c>
      <c r="F4125" s="597">
        <f t="shared" ref="F4125:G4125" si="3177">E4125*1.1</f>
        <v>1100000</v>
      </c>
      <c r="G4125" s="597">
        <f t="shared" si="3177"/>
        <v>1210000</v>
      </c>
      <c r="H4125" s="132"/>
    </row>
    <row r="4126" spans="1:8" s="307" customFormat="1" ht="15.75" outlineLevel="3">
      <c r="A4126" s="492"/>
      <c r="B4126" s="492"/>
      <c r="C4126" s="484">
        <v>3110200</v>
      </c>
      <c r="D4126" s="492" t="s">
        <v>333</v>
      </c>
      <c r="E4126" s="663">
        <f>E4127</f>
        <v>3600000</v>
      </c>
      <c r="F4126" s="597">
        <f t="shared" ref="F4126:G4126" si="3178">E4126*1.1</f>
        <v>3960000.0000000005</v>
      </c>
      <c r="G4126" s="597">
        <f t="shared" si="3178"/>
        <v>4356000.0000000009</v>
      </c>
      <c r="H4126" s="132"/>
    </row>
    <row r="4127" spans="1:8" s="307" customFormat="1" ht="15.75" outlineLevel="3">
      <c r="A4127" s="494"/>
      <c r="B4127" s="494"/>
      <c r="C4127" s="483">
        <v>3110202</v>
      </c>
      <c r="D4127" s="494" t="s">
        <v>1089</v>
      </c>
      <c r="E4127" s="664">
        <v>3600000</v>
      </c>
      <c r="F4127" s="597">
        <f t="shared" ref="F4127:G4127" si="3179">E4127*1.1</f>
        <v>3960000.0000000005</v>
      </c>
      <c r="G4127" s="597">
        <f t="shared" si="3179"/>
        <v>4356000.0000000009</v>
      </c>
      <c r="H4127" s="132"/>
    </row>
    <row r="4128" spans="1:8" s="307" customFormat="1" ht="15.75" outlineLevel="3">
      <c r="A4128" s="492"/>
      <c r="B4128" s="492"/>
      <c r="C4128" s="646">
        <v>3110500</v>
      </c>
      <c r="D4128" s="647" t="s">
        <v>305</v>
      </c>
      <c r="E4128" s="663">
        <f>SUM(E4129:E4136)</f>
        <v>92514154.069999993</v>
      </c>
      <c r="F4128" s="597">
        <f t="shared" ref="F4128:G4128" si="3180">E4128*1.1</f>
        <v>101765569.477</v>
      </c>
      <c r="G4128" s="597">
        <f t="shared" si="3180"/>
        <v>111942126.42470001</v>
      </c>
      <c r="H4128" s="132"/>
    </row>
    <row r="4129" spans="1:8" s="307" customFormat="1" ht="30" outlineLevel="3">
      <c r="A4129" s="494"/>
      <c r="B4129" s="494"/>
      <c r="C4129" s="648">
        <v>3110502</v>
      </c>
      <c r="D4129" s="494" t="s">
        <v>1090</v>
      </c>
      <c r="E4129" s="664">
        <v>4000000</v>
      </c>
      <c r="F4129" s="597">
        <f t="shared" ref="F4129:G4129" si="3181">E4129*1.1</f>
        <v>4400000</v>
      </c>
      <c r="G4129" s="597">
        <f t="shared" si="3181"/>
        <v>4840000</v>
      </c>
      <c r="H4129" s="132"/>
    </row>
    <row r="4130" spans="1:8" s="307" customFormat="1" ht="15.75" outlineLevel="3">
      <c r="A4130" s="494"/>
      <c r="B4130" s="494"/>
      <c r="C4130" s="648">
        <v>3110503</v>
      </c>
      <c r="D4130" s="494" t="s">
        <v>1091</v>
      </c>
      <c r="E4130" s="664">
        <v>1000000</v>
      </c>
      <c r="F4130" s="597">
        <f t="shared" ref="F4130:G4130" si="3182">E4130*1.1</f>
        <v>1100000</v>
      </c>
      <c r="G4130" s="597">
        <f t="shared" si="3182"/>
        <v>1210000</v>
      </c>
      <c r="H4130" s="132"/>
    </row>
    <row r="4131" spans="1:8" s="307" customFormat="1" ht="30" outlineLevel="3">
      <c r="A4131" s="494"/>
      <c r="B4131" s="494"/>
      <c r="C4131" s="648">
        <v>3110505</v>
      </c>
      <c r="D4131" s="494" t="s">
        <v>1092</v>
      </c>
      <c r="E4131" s="660">
        <v>43514154.07</v>
      </c>
      <c r="F4131" s="597">
        <f t="shared" ref="F4131:G4131" si="3183">E4131*1.1</f>
        <v>47865569.477000006</v>
      </c>
      <c r="G4131" s="597">
        <f t="shared" si="3183"/>
        <v>52652126.424700007</v>
      </c>
      <c r="H4131" s="132"/>
    </row>
    <row r="4132" spans="1:8" s="307" customFormat="1" ht="15.75" outlineLevel="3">
      <c r="A4132" s="494"/>
      <c r="B4132" s="494"/>
      <c r="C4132" s="648">
        <v>3110505</v>
      </c>
      <c r="D4132" s="494" t="s">
        <v>1093</v>
      </c>
      <c r="E4132" s="664">
        <v>15000000</v>
      </c>
      <c r="F4132" s="597">
        <f t="shared" ref="F4132:G4132" si="3184">E4132*1.1</f>
        <v>16500000.000000002</v>
      </c>
      <c r="G4132" s="597">
        <f t="shared" si="3184"/>
        <v>18150000.000000004</v>
      </c>
      <c r="H4132" s="132"/>
    </row>
    <row r="4133" spans="1:8" s="307" customFormat="1" ht="30" outlineLevel="3">
      <c r="A4133" s="494"/>
      <c r="B4133" s="494"/>
      <c r="C4133" s="648">
        <v>3110506</v>
      </c>
      <c r="D4133" s="494" t="s">
        <v>1094</v>
      </c>
      <c r="E4133" s="664">
        <v>20000000</v>
      </c>
      <c r="F4133" s="597">
        <f t="shared" ref="F4133:G4133" si="3185">E4133*1.1</f>
        <v>22000000</v>
      </c>
      <c r="G4133" s="597">
        <f t="shared" si="3185"/>
        <v>24200000.000000004</v>
      </c>
      <c r="H4133" s="132"/>
    </row>
    <row r="4134" spans="1:8" s="307" customFormat="1" ht="15.75" outlineLevel="3">
      <c r="A4134" s="494"/>
      <c r="B4134" s="494"/>
      <c r="C4134" s="648">
        <v>3110507</v>
      </c>
      <c r="D4134" s="494" t="s">
        <v>1095</v>
      </c>
      <c r="E4134" s="664">
        <v>3000000</v>
      </c>
      <c r="F4134" s="597">
        <f t="shared" ref="F4134:G4134" si="3186">E4134*1.1</f>
        <v>3300000.0000000005</v>
      </c>
      <c r="G4134" s="597">
        <f t="shared" si="3186"/>
        <v>3630000.0000000009</v>
      </c>
      <c r="H4134" s="132"/>
    </row>
    <row r="4135" spans="1:8" s="307" customFormat="1" ht="15.75" outlineLevel="3">
      <c r="A4135" s="494"/>
      <c r="B4135" s="494"/>
      <c r="C4135" s="648">
        <v>3110508</v>
      </c>
      <c r="D4135" s="494" t="s">
        <v>1096</v>
      </c>
      <c r="E4135" s="664">
        <v>1000000</v>
      </c>
      <c r="F4135" s="597">
        <f t="shared" ref="F4135:G4135" si="3187">E4135*1.1</f>
        <v>1100000</v>
      </c>
      <c r="G4135" s="597">
        <f t="shared" si="3187"/>
        <v>1210000</v>
      </c>
      <c r="H4135" s="132"/>
    </row>
    <row r="4136" spans="1:8" s="307" customFormat="1" ht="30" outlineLevel="3">
      <c r="A4136" s="494"/>
      <c r="B4136" s="494"/>
      <c r="C4136" s="648">
        <v>3110509</v>
      </c>
      <c r="D4136" s="494" t="s">
        <v>1097</v>
      </c>
      <c r="E4136" s="664">
        <v>5000000</v>
      </c>
      <c r="F4136" s="597">
        <f t="shared" ref="F4136:G4136" si="3188">E4136*1.1</f>
        <v>5500000</v>
      </c>
      <c r="G4136" s="597">
        <f t="shared" si="3188"/>
        <v>6050000.0000000009</v>
      </c>
      <c r="H4136" s="132"/>
    </row>
    <row r="4137" spans="1:8" s="307" customFormat="1" ht="15.75" outlineLevel="2">
      <c r="A4137" s="494"/>
      <c r="B4137" s="494"/>
      <c r="C4137" s="648"/>
      <c r="D4137" s="492" t="s">
        <v>1098</v>
      </c>
      <c r="E4137" s="663">
        <f>SUM(E4128,E4126,E4124,E4122)</f>
        <v>99114154.069999993</v>
      </c>
      <c r="F4137" s="597">
        <f t="shared" ref="F4137:G4137" si="3189">E4137*1.1</f>
        <v>109025569.477</v>
      </c>
      <c r="G4137" s="597">
        <f t="shared" si="3189"/>
        <v>119928126.42470001</v>
      </c>
      <c r="H4137" s="132"/>
    </row>
    <row r="4138" spans="1:8" s="307" customFormat="1" ht="15.75" outlineLevel="1">
      <c r="A4138" s="494"/>
      <c r="B4138" s="494"/>
      <c r="C4138" s="643"/>
      <c r="D4138" s="647" t="s">
        <v>80</v>
      </c>
      <c r="E4138" s="642">
        <f>SUM(E4137,E4118)</f>
        <v>107252814.06999999</v>
      </c>
      <c r="F4138" s="597">
        <f t="shared" ref="F4138:G4138" si="3190">E4138*1.1</f>
        <v>117978095.477</v>
      </c>
      <c r="G4138" s="597">
        <f t="shared" si="3190"/>
        <v>129775905.02470002</v>
      </c>
      <c r="H4138" s="132"/>
    </row>
    <row r="4139" spans="1:8" s="307" customFormat="1" ht="15.75">
      <c r="A4139" s="494"/>
      <c r="B4139" s="494"/>
      <c r="C4139" s="613"/>
      <c r="D4139" s="665" t="s">
        <v>377</v>
      </c>
      <c r="E4139" s="666">
        <f>E4031+E4074+E3918+E3943+E4118+E3983</f>
        <v>123455277.66</v>
      </c>
      <c r="F4139" s="666">
        <f t="shared" ref="F4139:G4139" si="3191">F4031+F4074+F3918+F3943+F4118+F3983</f>
        <v>135800805.426</v>
      </c>
      <c r="G4139" s="666">
        <f t="shared" si="3191"/>
        <v>149380885.9686</v>
      </c>
      <c r="H4139" s="132"/>
    </row>
    <row r="4140" spans="1:8" s="307" customFormat="1" ht="15.75">
      <c r="A4140" s="494"/>
      <c r="B4140" s="494"/>
      <c r="C4140" s="613"/>
      <c r="D4140" s="665" t="s">
        <v>201</v>
      </c>
      <c r="E4140" s="666">
        <f>SUM(E4137,E4083,E4040,E3990)</f>
        <v>131356414.06999999</v>
      </c>
      <c r="F4140" s="666">
        <f t="shared" ref="F4140:G4140" si="3192">SUM(F4137,F4083,F4040,F3990)</f>
        <v>144492055.477</v>
      </c>
      <c r="G4140" s="666">
        <f t="shared" si="3192"/>
        <v>158941261.02470002</v>
      </c>
      <c r="H4140" s="132"/>
    </row>
    <row r="4141" spans="1:8" s="307" customFormat="1" ht="15.75">
      <c r="A4141" s="494"/>
      <c r="B4141" s="494"/>
      <c r="C4141" s="806" t="s">
        <v>1099</v>
      </c>
      <c r="D4141" s="806"/>
      <c r="E4141" s="666">
        <f>E4139+E4140</f>
        <v>254811691.72999999</v>
      </c>
      <c r="F4141" s="666">
        <f t="shared" ref="F4141:G4141" si="3193">F4139+F4140</f>
        <v>280292860.903</v>
      </c>
      <c r="G4141" s="666">
        <f t="shared" si="3193"/>
        <v>308322146.99330002</v>
      </c>
      <c r="H4141" s="132"/>
    </row>
    <row r="4142" spans="1:8">
      <c r="A4142" s="324"/>
      <c r="B4142" s="324"/>
      <c r="C4142" s="324"/>
      <c r="D4142" s="324"/>
      <c r="E4142" s="495"/>
      <c r="F4142" s="597"/>
      <c r="G4142" s="597"/>
    </row>
    <row r="4143" spans="1:8">
      <c r="A4143" s="324"/>
      <c r="B4143" s="324"/>
      <c r="C4143" s="324"/>
      <c r="D4143" s="324"/>
      <c r="E4143" s="495"/>
      <c r="F4143" s="597"/>
      <c r="G4143" s="597"/>
    </row>
    <row r="4144" spans="1:8">
      <c r="A4144" s="324"/>
      <c r="B4144" s="324"/>
      <c r="C4144" s="324"/>
      <c r="D4144" s="324"/>
      <c r="E4144" s="495"/>
      <c r="F4144" s="597"/>
      <c r="G4144" s="597"/>
    </row>
    <row r="4145" spans="1:8" s="293" customFormat="1">
      <c r="A4145" s="505"/>
      <c r="B4145" s="505"/>
      <c r="C4145" s="375" t="s">
        <v>1100</v>
      </c>
      <c r="D4145" s="490"/>
      <c r="E4145" s="667"/>
      <c r="F4145" s="597"/>
      <c r="G4145" s="597"/>
      <c r="H4145" s="132"/>
    </row>
    <row r="4146" spans="1:8" s="293" customFormat="1" outlineLevel="1">
      <c r="A4146" s="668" t="s">
        <v>1101</v>
      </c>
      <c r="B4146" s="630" t="s">
        <v>98</v>
      </c>
      <c r="C4146" s="441"/>
      <c r="D4146" s="490" t="s">
        <v>1102</v>
      </c>
      <c r="E4146" s="503"/>
      <c r="F4146" s="597">
        <f t="shared" ref="F4146:G4146" si="3194">E4146*1.1</f>
        <v>0</v>
      </c>
      <c r="G4146" s="597">
        <f t="shared" si="3194"/>
        <v>0</v>
      </c>
      <c r="H4146" s="132"/>
    </row>
    <row r="4147" spans="1:8" s="293" customFormat="1" outlineLevel="1">
      <c r="A4147" s="505"/>
      <c r="B4147" s="505"/>
      <c r="C4147" s="441"/>
      <c r="D4147" s="490" t="s">
        <v>1103</v>
      </c>
      <c r="E4147" s="669"/>
      <c r="F4147" s="597">
        <f t="shared" ref="F4147:G4147" si="3195">E4147*1.1</f>
        <v>0</v>
      </c>
      <c r="G4147" s="597">
        <f t="shared" si="3195"/>
        <v>0</v>
      </c>
      <c r="H4147" s="132"/>
    </row>
    <row r="4148" spans="1:8" s="293" customFormat="1" outlineLevel="3">
      <c r="A4148" s="505"/>
      <c r="B4148" s="505"/>
      <c r="C4148" s="484">
        <v>2110100</v>
      </c>
      <c r="D4148" s="670" t="s">
        <v>13</v>
      </c>
      <c r="E4148" s="503">
        <f>E4149</f>
        <v>35508829</v>
      </c>
      <c r="F4148" s="597">
        <f t="shared" ref="F4148:G4148" si="3196">E4148*1.1</f>
        <v>39059711.900000006</v>
      </c>
      <c r="G4148" s="597">
        <f t="shared" si="3196"/>
        <v>42965683.090000011</v>
      </c>
      <c r="H4148" s="132"/>
    </row>
    <row r="4149" spans="1:8" outlineLevel="3">
      <c r="A4149" s="505"/>
      <c r="B4149" s="505"/>
      <c r="C4149" s="355">
        <v>2110101</v>
      </c>
      <c r="D4149" s="671" t="s">
        <v>14</v>
      </c>
      <c r="E4149" s="669">
        <v>35508829</v>
      </c>
      <c r="F4149" s="597">
        <f t="shared" ref="F4149:G4149" si="3197">E4149*1.1</f>
        <v>39059711.900000006</v>
      </c>
      <c r="G4149" s="597">
        <f t="shared" si="3197"/>
        <v>42965683.090000011</v>
      </c>
    </row>
    <row r="4150" spans="1:8" s="293" customFormat="1" outlineLevel="3">
      <c r="A4150" s="505"/>
      <c r="B4150" s="505"/>
      <c r="C4150" s="484">
        <v>2110200</v>
      </c>
      <c r="D4150" s="670" t="s">
        <v>155</v>
      </c>
      <c r="E4150" s="503">
        <f>E4151</f>
        <v>20000000</v>
      </c>
      <c r="F4150" s="597">
        <f t="shared" ref="F4150:G4150" si="3198">E4150*1.1</f>
        <v>22000000</v>
      </c>
      <c r="G4150" s="597">
        <f t="shared" si="3198"/>
        <v>24200000.000000004</v>
      </c>
      <c r="H4150" s="132"/>
    </row>
    <row r="4151" spans="1:8" s="293" customFormat="1" ht="90" outlineLevel="3">
      <c r="A4151" s="324"/>
      <c r="B4151" s="324"/>
      <c r="C4151" s="437">
        <v>2110202</v>
      </c>
      <c r="D4151" s="494" t="s">
        <v>1104</v>
      </c>
      <c r="E4151" s="501">
        <v>20000000</v>
      </c>
      <c r="F4151" s="597">
        <f t="shared" ref="F4151:G4151" si="3199">E4151*1.1</f>
        <v>22000000</v>
      </c>
      <c r="G4151" s="597">
        <f t="shared" si="3199"/>
        <v>24200000.000000004</v>
      </c>
      <c r="H4151" s="132"/>
    </row>
    <row r="4152" spans="1:8" s="293" customFormat="1" outlineLevel="3">
      <c r="A4152" s="505"/>
      <c r="B4152" s="505"/>
      <c r="C4152" s="484">
        <v>2210100</v>
      </c>
      <c r="D4152" s="477" t="s">
        <v>16</v>
      </c>
      <c r="E4152" s="503">
        <f>SUM(E4153:E4154)</f>
        <v>1250000</v>
      </c>
      <c r="F4152" s="597">
        <f t="shared" ref="F4152:G4152" si="3200">E4152*1.1</f>
        <v>1375000</v>
      </c>
      <c r="G4152" s="597">
        <f t="shared" si="3200"/>
        <v>1512500.0000000002</v>
      </c>
      <c r="H4152" s="132"/>
    </row>
    <row r="4153" spans="1:8" s="293" customFormat="1" outlineLevel="3">
      <c r="A4153" s="505"/>
      <c r="B4153" s="505"/>
      <c r="C4153" s="355">
        <v>2210101</v>
      </c>
      <c r="D4153" s="671" t="s">
        <v>17</v>
      </c>
      <c r="E4153" s="669">
        <v>850000</v>
      </c>
      <c r="F4153" s="597">
        <f t="shared" ref="F4153:G4153" si="3201">E4153*1.1</f>
        <v>935000.00000000012</v>
      </c>
      <c r="G4153" s="597">
        <f t="shared" si="3201"/>
        <v>1028500.0000000002</v>
      </c>
      <c r="H4153" s="132"/>
    </row>
    <row r="4154" spans="1:8" s="293" customFormat="1" outlineLevel="3">
      <c r="A4154" s="505"/>
      <c r="B4154" s="505"/>
      <c r="C4154" s="355">
        <v>2210102</v>
      </c>
      <c r="D4154" s="494" t="s">
        <v>1105</v>
      </c>
      <c r="E4154" s="669">
        <v>400000</v>
      </c>
      <c r="F4154" s="597">
        <f t="shared" ref="F4154:G4154" si="3202">E4154*1.1</f>
        <v>440000.00000000006</v>
      </c>
      <c r="G4154" s="597">
        <f t="shared" si="3202"/>
        <v>484000.00000000012</v>
      </c>
      <c r="H4154" s="132"/>
    </row>
    <row r="4155" spans="1:8" s="293" customFormat="1" outlineLevel="3">
      <c r="A4155" s="505"/>
      <c r="B4155" s="505"/>
      <c r="C4155" s="484">
        <v>2210200</v>
      </c>
      <c r="D4155" s="670" t="s">
        <v>19</v>
      </c>
      <c r="E4155" s="503">
        <f>E4158+E4157+E4156</f>
        <v>102500</v>
      </c>
      <c r="F4155" s="597">
        <f t="shared" ref="F4155:G4155" si="3203">E4155*1.1</f>
        <v>112750.00000000001</v>
      </c>
      <c r="G4155" s="597">
        <f t="shared" si="3203"/>
        <v>124025.00000000003</v>
      </c>
      <c r="H4155" s="132"/>
    </row>
    <row r="4156" spans="1:8" s="293" customFormat="1" outlineLevel="3">
      <c r="A4156" s="505"/>
      <c r="B4156" s="505"/>
      <c r="C4156" s="355">
        <v>2210201</v>
      </c>
      <c r="D4156" s="671" t="s">
        <v>158</v>
      </c>
      <c r="E4156" s="669">
        <v>86500</v>
      </c>
      <c r="F4156" s="597">
        <f t="shared" ref="F4156:G4156" si="3204">E4156*1.1</f>
        <v>95150.000000000015</v>
      </c>
      <c r="G4156" s="597">
        <f t="shared" si="3204"/>
        <v>104665.00000000003</v>
      </c>
      <c r="H4156" s="132"/>
    </row>
    <row r="4157" spans="1:8" s="293" customFormat="1" outlineLevel="3">
      <c r="A4157" s="505"/>
      <c r="B4157" s="505"/>
      <c r="C4157" s="355">
        <v>2210202</v>
      </c>
      <c r="D4157" s="671" t="s">
        <v>21</v>
      </c>
      <c r="E4157" s="669">
        <v>10000</v>
      </c>
      <c r="F4157" s="597">
        <f t="shared" ref="F4157:G4157" si="3205">E4157*1.1</f>
        <v>11000</v>
      </c>
      <c r="G4157" s="597">
        <f t="shared" si="3205"/>
        <v>12100.000000000002</v>
      </c>
      <c r="H4157" s="132"/>
    </row>
    <row r="4158" spans="1:8" s="293" customFormat="1" outlineLevel="3">
      <c r="A4158" s="505"/>
      <c r="B4158" s="505"/>
      <c r="C4158" s="483">
        <v>2210203</v>
      </c>
      <c r="D4158" s="482" t="s">
        <v>22</v>
      </c>
      <c r="E4158" s="669">
        <v>6000</v>
      </c>
      <c r="F4158" s="597">
        <f t="shared" ref="F4158:G4158" si="3206">E4158*1.1</f>
        <v>6600.0000000000009</v>
      </c>
      <c r="G4158" s="597">
        <f t="shared" si="3206"/>
        <v>7260.0000000000018</v>
      </c>
      <c r="H4158" s="132"/>
    </row>
    <row r="4159" spans="1:8" s="293" customFormat="1" ht="30" outlineLevel="3">
      <c r="A4159" s="505"/>
      <c r="B4159" s="505"/>
      <c r="C4159" s="484">
        <v>2210300</v>
      </c>
      <c r="D4159" s="670" t="s">
        <v>23</v>
      </c>
      <c r="E4159" s="503">
        <f>E4160+E4161</f>
        <v>783000</v>
      </c>
      <c r="F4159" s="597">
        <f t="shared" ref="F4159:G4159" si="3207">E4159*1.1</f>
        <v>861300.00000000012</v>
      </c>
      <c r="G4159" s="597">
        <f t="shared" si="3207"/>
        <v>947430.00000000023</v>
      </c>
      <c r="H4159" s="132"/>
    </row>
    <row r="4160" spans="1:8" s="293" customFormat="1" outlineLevel="3">
      <c r="A4160" s="505"/>
      <c r="B4160" s="505"/>
      <c r="C4160" s="483">
        <v>2210301</v>
      </c>
      <c r="D4160" s="482" t="s">
        <v>208</v>
      </c>
      <c r="E4160" s="669">
        <v>319000</v>
      </c>
      <c r="F4160" s="597">
        <f t="shared" ref="F4160:G4160" si="3208">E4160*1.1</f>
        <v>350900</v>
      </c>
      <c r="G4160" s="597">
        <f t="shared" si="3208"/>
        <v>385990.00000000006</v>
      </c>
      <c r="H4160" s="132"/>
    </row>
    <row r="4161" spans="1:8" s="293" customFormat="1" outlineLevel="3">
      <c r="A4161" s="505"/>
      <c r="B4161" s="505"/>
      <c r="C4161" s="355">
        <v>2210302</v>
      </c>
      <c r="D4161" s="671" t="s">
        <v>25</v>
      </c>
      <c r="E4161" s="669">
        <v>464000</v>
      </c>
      <c r="F4161" s="597">
        <f t="shared" ref="F4161:G4161" si="3209">E4161*1.1</f>
        <v>510400.00000000006</v>
      </c>
      <c r="G4161" s="597">
        <f t="shared" si="3209"/>
        <v>561440.00000000012</v>
      </c>
      <c r="H4161" s="132"/>
    </row>
    <row r="4162" spans="1:8" s="293" customFormat="1" outlineLevel="3">
      <c r="A4162" s="505"/>
      <c r="B4162" s="505"/>
      <c r="C4162" s="484">
        <v>2210500</v>
      </c>
      <c r="D4162" s="670" t="s">
        <v>30</v>
      </c>
      <c r="E4162" s="503">
        <f>E4163</f>
        <v>5000</v>
      </c>
      <c r="F4162" s="597">
        <f t="shared" ref="F4162:G4162" si="3210">E4162*1.1</f>
        <v>5500</v>
      </c>
      <c r="G4162" s="597">
        <f t="shared" si="3210"/>
        <v>6050.0000000000009</v>
      </c>
      <c r="H4162" s="132"/>
    </row>
    <row r="4163" spans="1:8" s="293" customFormat="1" outlineLevel="3">
      <c r="A4163" s="505"/>
      <c r="B4163" s="505"/>
      <c r="C4163" s="355">
        <v>2210503</v>
      </c>
      <c r="D4163" s="671" t="s">
        <v>31</v>
      </c>
      <c r="E4163" s="669">
        <v>5000</v>
      </c>
      <c r="F4163" s="597">
        <f t="shared" ref="F4163:G4163" si="3211">E4163*1.1</f>
        <v>5500</v>
      </c>
      <c r="G4163" s="597">
        <f t="shared" si="3211"/>
        <v>6050.0000000000009</v>
      </c>
      <c r="H4163" s="132"/>
    </row>
    <row r="4164" spans="1:8" s="293" customFormat="1" outlineLevel="3">
      <c r="A4164" s="505"/>
      <c r="B4164" s="505"/>
      <c r="C4164" s="484">
        <v>2210700</v>
      </c>
      <c r="D4164" s="670" t="s">
        <v>34</v>
      </c>
      <c r="E4164" s="503">
        <f>SUM(E4165:E4166)</f>
        <v>474000</v>
      </c>
      <c r="F4164" s="597">
        <f t="shared" ref="F4164:G4164" si="3212">E4164*1.1</f>
        <v>521400.00000000006</v>
      </c>
      <c r="G4164" s="597">
        <f t="shared" si="3212"/>
        <v>573540.00000000012</v>
      </c>
      <c r="H4164" s="132"/>
    </row>
    <row r="4165" spans="1:8" s="293" customFormat="1" outlineLevel="3">
      <c r="A4165" s="505"/>
      <c r="B4165" s="505"/>
      <c r="C4165" s="483">
        <v>2210701</v>
      </c>
      <c r="D4165" s="482" t="s">
        <v>35</v>
      </c>
      <c r="E4165" s="669">
        <v>274000</v>
      </c>
      <c r="F4165" s="597">
        <f t="shared" ref="F4165:G4165" si="3213">E4165*1.1</f>
        <v>301400</v>
      </c>
      <c r="G4165" s="597">
        <f t="shared" si="3213"/>
        <v>331540</v>
      </c>
      <c r="H4165" s="132"/>
    </row>
    <row r="4166" spans="1:8" s="293" customFormat="1" outlineLevel="3">
      <c r="A4166" s="505"/>
      <c r="B4166" s="505"/>
      <c r="C4166" s="355">
        <v>2210799</v>
      </c>
      <c r="D4166" s="671" t="s">
        <v>1106</v>
      </c>
      <c r="E4166" s="669">
        <v>200000</v>
      </c>
      <c r="F4166" s="597">
        <f t="shared" ref="F4166:G4166" si="3214">E4166*1.1</f>
        <v>220000.00000000003</v>
      </c>
      <c r="G4166" s="597">
        <f t="shared" si="3214"/>
        <v>242000.00000000006</v>
      </c>
      <c r="H4166" s="132"/>
    </row>
    <row r="4167" spans="1:8" s="293" customFormat="1" outlineLevel="3">
      <c r="A4167" s="505"/>
      <c r="B4167" s="505"/>
      <c r="C4167" s="484">
        <v>2210800</v>
      </c>
      <c r="D4167" s="670" t="s">
        <v>41</v>
      </c>
      <c r="E4167" s="503">
        <f>E4169+E4168</f>
        <v>4063407</v>
      </c>
      <c r="F4167" s="597">
        <f t="shared" ref="F4167:G4167" si="3215">E4167*1.1</f>
        <v>4469747.7</v>
      </c>
      <c r="G4167" s="597">
        <f t="shared" si="3215"/>
        <v>4916722.4700000007</v>
      </c>
      <c r="H4167" s="132"/>
    </row>
    <row r="4168" spans="1:8" s="293" customFormat="1" outlineLevel="3">
      <c r="A4168" s="505"/>
      <c r="B4168" s="505"/>
      <c r="C4168" s="355">
        <v>2210801</v>
      </c>
      <c r="D4168" s="671" t="s">
        <v>1107</v>
      </c>
      <c r="E4168" s="669">
        <v>563407</v>
      </c>
      <c r="F4168" s="597">
        <f t="shared" ref="F4168:G4168" si="3216">E4168*1.1</f>
        <v>619747.70000000007</v>
      </c>
      <c r="G4168" s="597">
        <f t="shared" si="3216"/>
        <v>681722.47000000009</v>
      </c>
      <c r="H4168" s="132"/>
    </row>
    <row r="4169" spans="1:8" s="293" customFormat="1" ht="30" outlineLevel="3">
      <c r="A4169" s="505"/>
      <c r="B4169" s="505"/>
      <c r="C4169" s="355">
        <v>2210802</v>
      </c>
      <c r="D4169" s="671" t="s">
        <v>1108</v>
      </c>
      <c r="E4169" s="669">
        <v>3500000</v>
      </c>
      <c r="F4169" s="597">
        <f t="shared" ref="F4169:G4169" si="3217">E4169*1.1</f>
        <v>3850000.0000000005</v>
      </c>
      <c r="G4169" s="597">
        <f t="shared" si="3217"/>
        <v>4235000.0000000009</v>
      </c>
      <c r="H4169" s="132"/>
    </row>
    <row r="4170" spans="1:8" s="293" customFormat="1" outlineLevel="3">
      <c r="A4170" s="505"/>
      <c r="B4170" s="505"/>
      <c r="C4170" s="484">
        <v>2211100</v>
      </c>
      <c r="D4170" s="670" t="s">
        <v>49</v>
      </c>
      <c r="E4170" s="503">
        <f>E4173+E4172+E4171+E4174</f>
        <v>1350000</v>
      </c>
      <c r="F4170" s="597">
        <f t="shared" ref="F4170:G4170" si="3218">E4170*1.1</f>
        <v>1485000.0000000002</v>
      </c>
      <c r="G4170" s="597">
        <f t="shared" si="3218"/>
        <v>1633500.0000000005</v>
      </c>
      <c r="H4170" s="132"/>
    </row>
    <row r="4171" spans="1:8" s="293" customFormat="1" outlineLevel="3">
      <c r="A4171" s="505"/>
      <c r="B4171" s="505"/>
      <c r="C4171" s="355">
        <v>2211101</v>
      </c>
      <c r="D4171" s="671" t="s">
        <v>1109</v>
      </c>
      <c r="E4171" s="669">
        <v>450000</v>
      </c>
      <c r="F4171" s="597">
        <f t="shared" ref="F4171:G4171" si="3219">E4171*1.1</f>
        <v>495000.00000000006</v>
      </c>
      <c r="G4171" s="597">
        <f t="shared" si="3219"/>
        <v>544500.00000000012</v>
      </c>
      <c r="H4171" s="132"/>
    </row>
    <row r="4172" spans="1:8" s="293" customFormat="1" outlineLevel="3">
      <c r="A4172" s="505"/>
      <c r="B4172" s="505"/>
      <c r="C4172" s="355">
        <v>2211102</v>
      </c>
      <c r="D4172" s="671" t="s">
        <v>51</v>
      </c>
      <c r="E4172" s="669">
        <v>300000</v>
      </c>
      <c r="F4172" s="597">
        <f t="shared" ref="F4172:G4172" si="3220">E4172*1.1</f>
        <v>330000</v>
      </c>
      <c r="G4172" s="597">
        <f t="shared" si="3220"/>
        <v>363000.00000000006</v>
      </c>
      <c r="H4172" s="132"/>
    </row>
    <row r="4173" spans="1:8" s="293" customFormat="1" outlineLevel="3">
      <c r="A4173" s="505"/>
      <c r="B4173" s="505"/>
      <c r="C4173" s="355">
        <v>2211103</v>
      </c>
      <c r="D4173" s="671" t="s">
        <v>52</v>
      </c>
      <c r="E4173" s="669">
        <v>200000</v>
      </c>
      <c r="F4173" s="597">
        <f t="shared" ref="F4173:G4173" si="3221">E4173*1.1</f>
        <v>220000.00000000003</v>
      </c>
      <c r="G4173" s="597">
        <f t="shared" si="3221"/>
        <v>242000.00000000006</v>
      </c>
      <c r="H4173" s="132"/>
    </row>
    <row r="4174" spans="1:8" s="293" customFormat="1" outlineLevel="3">
      <c r="A4174" s="505"/>
      <c r="B4174" s="505"/>
      <c r="C4174" s="355">
        <v>2211199</v>
      </c>
      <c r="D4174" s="494" t="s">
        <v>1110</v>
      </c>
      <c r="E4174" s="669">
        <v>400000</v>
      </c>
      <c r="F4174" s="597">
        <f t="shared" ref="F4174:G4174" si="3222">E4174*1.1</f>
        <v>440000.00000000006</v>
      </c>
      <c r="G4174" s="597">
        <f t="shared" si="3222"/>
        <v>484000.00000000012</v>
      </c>
      <c r="H4174" s="132"/>
    </row>
    <row r="4175" spans="1:8" s="293" customFormat="1" outlineLevel="3">
      <c r="A4175" s="505"/>
      <c r="B4175" s="505"/>
      <c r="C4175" s="484">
        <v>2211200</v>
      </c>
      <c r="D4175" s="670" t="s">
        <v>53</v>
      </c>
      <c r="E4175" s="503">
        <f>E4176</f>
        <v>1000000</v>
      </c>
      <c r="F4175" s="597">
        <f t="shared" ref="F4175:G4175" si="3223">E4175*1.1</f>
        <v>1100000</v>
      </c>
      <c r="G4175" s="597">
        <f t="shared" si="3223"/>
        <v>1210000</v>
      </c>
      <c r="H4175" s="132"/>
    </row>
    <row r="4176" spans="1:8" s="293" customFormat="1" ht="45" outlineLevel="3">
      <c r="A4176" s="505"/>
      <c r="B4176" s="505"/>
      <c r="C4176" s="355">
        <v>2211201</v>
      </c>
      <c r="D4176" s="671" t="s">
        <v>1111</v>
      </c>
      <c r="E4176" s="669">
        <v>1000000</v>
      </c>
      <c r="F4176" s="597">
        <f t="shared" ref="F4176:G4176" si="3224">E4176*1.1</f>
        <v>1100000</v>
      </c>
      <c r="G4176" s="597">
        <f t="shared" si="3224"/>
        <v>1210000</v>
      </c>
      <c r="H4176" s="132"/>
    </row>
    <row r="4177" spans="1:8" s="293" customFormat="1" ht="30" outlineLevel="3">
      <c r="A4177" s="505"/>
      <c r="B4177" s="505"/>
      <c r="C4177" s="386" t="s">
        <v>293</v>
      </c>
      <c r="D4177" s="619" t="s">
        <v>61</v>
      </c>
      <c r="E4177" s="503">
        <f>E4178</f>
        <v>400000</v>
      </c>
      <c r="F4177" s="597">
        <f t="shared" ref="F4177:G4177" si="3225">E4177*1.1</f>
        <v>440000.00000000006</v>
      </c>
      <c r="G4177" s="597">
        <f t="shared" si="3225"/>
        <v>484000.00000000012</v>
      </c>
      <c r="H4177" s="132"/>
    </row>
    <row r="4178" spans="1:8" s="293" customFormat="1" outlineLevel="3">
      <c r="A4178" s="505"/>
      <c r="B4178" s="505"/>
      <c r="C4178" s="483">
        <v>2220101</v>
      </c>
      <c r="D4178" s="482" t="s">
        <v>441</v>
      </c>
      <c r="E4178" s="669">
        <v>400000</v>
      </c>
      <c r="F4178" s="597">
        <f t="shared" ref="F4178:G4178" si="3226">E4178*1.1</f>
        <v>440000.00000000006</v>
      </c>
      <c r="G4178" s="597">
        <f t="shared" si="3226"/>
        <v>484000.00000000012</v>
      </c>
      <c r="H4178" s="132"/>
    </row>
    <row r="4179" spans="1:8" s="293" customFormat="1" outlineLevel="3">
      <c r="A4179" s="505"/>
      <c r="B4179" s="505"/>
      <c r="C4179" s="386">
        <v>2220200</v>
      </c>
      <c r="D4179" s="619" t="s">
        <v>114</v>
      </c>
      <c r="E4179" s="503">
        <f>E4181+E4180+E4182</f>
        <v>1100000</v>
      </c>
      <c r="F4179" s="597">
        <f t="shared" ref="F4179:G4179" si="3227">E4179*1.1</f>
        <v>1210000</v>
      </c>
      <c r="G4179" s="597">
        <f t="shared" si="3227"/>
        <v>1331000</v>
      </c>
      <c r="H4179" s="132"/>
    </row>
    <row r="4180" spans="1:8" s="293" customFormat="1" ht="30" outlineLevel="3">
      <c r="A4180" s="505"/>
      <c r="B4180" s="505"/>
      <c r="C4180" s="355">
        <v>2220210</v>
      </c>
      <c r="D4180" s="671" t="s">
        <v>1112</v>
      </c>
      <c r="E4180" s="669">
        <v>200000</v>
      </c>
      <c r="F4180" s="597">
        <f t="shared" ref="F4180:G4180" si="3228">E4180*1.1</f>
        <v>220000.00000000003</v>
      </c>
      <c r="G4180" s="597">
        <f t="shared" si="3228"/>
        <v>242000.00000000006</v>
      </c>
      <c r="H4180" s="132"/>
    </row>
    <row r="4181" spans="1:8" s="293" customFormat="1" ht="30" outlineLevel="3">
      <c r="A4181" s="505"/>
      <c r="B4181" s="505"/>
      <c r="C4181" s="355">
        <v>2220212</v>
      </c>
      <c r="D4181" s="494" t="s">
        <v>1113</v>
      </c>
      <c r="E4181" s="669">
        <v>300000</v>
      </c>
      <c r="F4181" s="597">
        <f t="shared" ref="F4181:G4181" si="3229">E4181*1.1</f>
        <v>330000</v>
      </c>
      <c r="G4181" s="597">
        <f t="shared" si="3229"/>
        <v>363000.00000000006</v>
      </c>
      <c r="H4181" s="132"/>
    </row>
    <row r="4182" spans="1:8" s="293" customFormat="1" ht="30" outlineLevel="3">
      <c r="A4182" s="505"/>
      <c r="B4182" s="505"/>
      <c r="C4182" s="355">
        <v>2220299</v>
      </c>
      <c r="D4182" s="671" t="s">
        <v>1114</v>
      </c>
      <c r="E4182" s="669">
        <v>600000</v>
      </c>
      <c r="F4182" s="597">
        <f t="shared" ref="F4182:G4182" si="3230">E4182*1.1</f>
        <v>660000</v>
      </c>
      <c r="G4182" s="597">
        <f t="shared" si="3230"/>
        <v>726000.00000000012</v>
      </c>
      <c r="H4182" s="132"/>
    </row>
    <row r="4183" spans="1:8" s="293" customFormat="1" outlineLevel="3">
      <c r="A4183" s="505"/>
      <c r="B4183" s="505"/>
      <c r="C4183" s="386">
        <v>3111000</v>
      </c>
      <c r="D4183" s="333" t="s">
        <v>65</v>
      </c>
      <c r="E4183" s="503">
        <f>E4184</f>
        <v>300000</v>
      </c>
      <c r="F4183" s="597">
        <f t="shared" ref="F4183:G4183" si="3231">E4183*1.1</f>
        <v>330000</v>
      </c>
      <c r="G4183" s="597">
        <f t="shared" si="3231"/>
        <v>363000.00000000006</v>
      </c>
      <c r="H4183" s="132"/>
    </row>
    <row r="4184" spans="1:8" s="293" customFormat="1" outlineLevel="3">
      <c r="A4184" s="505"/>
      <c r="B4184" s="505"/>
      <c r="C4184" s="355">
        <v>3111002</v>
      </c>
      <c r="D4184" s="671" t="s">
        <v>67</v>
      </c>
      <c r="E4184" s="669">
        <v>300000</v>
      </c>
      <c r="F4184" s="597">
        <f t="shared" ref="F4184:G4184" si="3232">E4184*1.1</f>
        <v>330000</v>
      </c>
      <c r="G4184" s="597">
        <f t="shared" si="3232"/>
        <v>363000.00000000006</v>
      </c>
      <c r="H4184" s="132"/>
    </row>
    <row r="4185" spans="1:8" s="293" customFormat="1" outlineLevel="2">
      <c r="A4185" s="505"/>
      <c r="B4185" s="505"/>
      <c r="C4185" s="355"/>
      <c r="D4185" s="672" t="s">
        <v>183</v>
      </c>
      <c r="E4185" s="500">
        <f>E4148+E4150+E4152+E4155+E4159+E4162+E4164+E4167+E4170+E4175+E4177+E4179+E4183</f>
        <v>66336736</v>
      </c>
      <c r="F4185" s="597">
        <f t="shared" ref="F4185:G4185" si="3233">E4185*1.1</f>
        <v>72970409.600000009</v>
      </c>
      <c r="G4185" s="597">
        <f t="shared" si="3233"/>
        <v>80267450.560000017</v>
      </c>
      <c r="H4185" s="132"/>
    </row>
    <row r="4186" spans="1:8" s="293" customFormat="1" outlineLevel="2">
      <c r="A4186" s="505"/>
      <c r="B4186" s="505"/>
      <c r="C4186" s="355"/>
      <c r="D4186" s="670"/>
      <c r="E4186" s="503"/>
      <c r="F4186" s="597">
        <f t="shared" ref="F4186:G4186" si="3234">E4186*1.1</f>
        <v>0</v>
      </c>
      <c r="G4186" s="597">
        <f t="shared" si="3234"/>
        <v>0</v>
      </c>
      <c r="H4186" s="132"/>
    </row>
    <row r="4187" spans="1:8" outlineLevel="2">
      <c r="A4187" s="505"/>
      <c r="B4187" s="505"/>
      <c r="C4187" s="355"/>
      <c r="D4187" s="490" t="s">
        <v>184</v>
      </c>
      <c r="E4187" s="503"/>
      <c r="F4187" s="597">
        <f t="shared" ref="F4187:G4187" si="3235">E4187*1.1</f>
        <v>0</v>
      </c>
      <c r="G4187" s="597">
        <f t="shared" si="3235"/>
        <v>0</v>
      </c>
    </row>
    <row r="4188" spans="1:8" s="293" customFormat="1" ht="30" outlineLevel="3">
      <c r="A4188" s="324"/>
      <c r="B4188" s="324"/>
      <c r="C4188" s="443">
        <v>3111400</v>
      </c>
      <c r="D4188" s="492" t="s">
        <v>68</v>
      </c>
      <c r="E4188" s="503">
        <f>SUM(E4189:E4189)</f>
        <v>800000</v>
      </c>
      <c r="F4188" s="597">
        <f t="shared" ref="F4188:G4188" si="3236">E4188*1.1</f>
        <v>880000.00000000012</v>
      </c>
      <c r="G4188" s="597">
        <f t="shared" si="3236"/>
        <v>968000.00000000023</v>
      </c>
      <c r="H4188" s="132"/>
    </row>
    <row r="4189" spans="1:8" s="293" customFormat="1" ht="30" outlineLevel="3">
      <c r="A4189" s="324"/>
      <c r="B4189" s="324"/>
      <c r="C4189" s="437">
        <v>3111401</v>
      </c>
      <c r="D4189" s="494" t="s">
        <v>1115</v>
      </c>
      <c r="E4189" s="669">
        <v>800000</v>
      </c>
      <c r="F4189" s="597">
        <f t="shared" ref="F4189:G4189" si="3237">E4189*1.1</f>
        <v>880000.00000000012</v>
      </c>
      <c r="G4189" s="597">
        <f t="shared" si="3237"/>
        <v>968000.00000000023</v>
      </c>
      <c r="H4189" s="132"/>
    </row>
    <row r="4190" spans="1:8" s="293" customFormat="1" outlineLevel="2">
      <c r="A4190" s="505"/>
      <c r="B4190" s="505"/>
      <c r="C4190" s="355"/>
      <c r="D4190" s="672" t="s">
        <v>348</v>
      </c>
      <c r="E4190" s="500">
        <f>E4188</f>
        <v>800000</v>
      </c>
      <c r="F4190" s="597">
        <f t="shared" ref="F4190:G4190" si="3238">E4190*1.1</f>
        <v>880000.00000000012</v>
      </c>
      <c r="G4190" s="597">
        <f t="shared" si="3238"/>
        <v>968000.00000000023</v>
      </c>
      <c r="H4190" s="132"/>
    </row>
    <row r="4191" spans="1:8" s="293" customFormat="1" outlineLevel="1">
      <c r="A4191" s="505"/>
      <c r="B4191" s="505"/>
      <c r="C4191" s="355"/>
      <c r="D4191" s="490" t="s">
        <v>1116</v>
      </c>
      <c r="E4191" s="500">
        <f>E4185+E4190</f>
        <v>67136736</v>
      </c>
      <c r="F4191" s="597">
        <f t="shared" ref="F4191:G4191" si="3239">E4191*1.1</f>
        <v>73850409.600000009</v>
      </c>
      <c r="G4191" s="597">
        <f t="shared" si="3239"/>
        <v>81235450.560000017</v>
      </c>
      <c r="H4191" s="132"/>
    </row>
    <row r="4192" spans="1:8" s="293" customFormat="1" outlineLevel="1">
      <c r="A4192" s="505"/>
      <c r="B4192" s="505"/>
      <c r="C4192" s="355"/>
      <c r="D4192" s="671"/>
      <c r="E4192" s="669"/>
      <c r="F4192" s="597">
        <f t="shared" ref="F4192:G4192" si="3240">E4192*1.1</f>
        <v>0</v>
      </c>
      <c r="G4192" s="597">
        <f t="shared" si="3240"/>
        <v>0</v>
      </c>
      <c r="H4192" s="132"/>
    </row>
    <row r="4193" spans="1:8" s="293" customFormat="1" outlineLevel="1">
      <c r="A4193" s="668" t="s">
        <v>233</v>
      </c>
      <c r="B4193" s="668" t="s">
        <v>98</v>
      </c>
      <c r="C4193" s="355"/>
      <c r="D4193" s="490" t="s">
        <v>1117</v>
      </c>
      <c r="E4193" s="669"/>
      <c r="F4193" s="597">
        <f t="shared" ref="F4193:G4193" si="3241">E4193*1.1</f>
        <v>0</v>
      </c>
      <c r="G4193" s="597">
        <f t="shared" si="3241"/>
        <v>0</v>
      </c>
      <c r="H4193" s="132"/>
    </row>
    <row r="4194" spans="1:8" s="293" customFormat="1" outlineLevel="3">
      <c r="A4194" s="505"/>
      <c r="B4194" s="505"/>
      <c r="C4194" s="484">
        <v>2210100</v>
      </c>
      <c r="D4194" s="477" t="s">
        <v>16</v>
      </c>
      <c r="E4194" s="503">
        <f>E4195</f>
        <v>430000</v>
      </c>
      <c r="F4194" s="597">
        <f t="shared" ref="F4194:G4194" si="3242">E4194*1.1</f>
        <v>473000.00000000006</v>
      </c>
      <c r="G4194" s="597">
        <f t="shared" si="3242"/>
        <v>520300.00000000012</v>
      </c>
      <c r="H4194" s="132"/>
    </row>
    <row r="4195" spans="1:8" s="293" customFormat="1" outlineLevel="3">
      <c r="A4195" s="505"/>
      <c r="B4195" s="505"/>
      <c r="C4195" s="355">
        <v>2210102</v>
      </c>
      <c r="D4195" s="494" t="s">
        <v>1118</v>
      </c>
      <c r="E4195" s="669">
        <v>430000</v>
      </c>
      <c r="F4195" s="597">
        <f t="shared" ref="F4195:G4195" si="3243">E4195*1.1</f>
        <v>473000.00000000006</v>
      </c>
      <c r="G4195" s="597">
        <f t="shared" si="3243"/>
        <v>520300.00000000012</v>
      </c>
      <c r="H4195" s="132"/>
    </row>
    <row r="4196" spans="1:8" s="293" customFormat="1" outlineLevel="3">
      <c r="A4196" s="505"/>
      <c r="B4196" s="505"/>
      <c r="C4196" s="484">
        <v>2210200</v>
      </c>
      <c r="D4196" s="670" t="s">
        <v>19</v>
      </c>
      <c r="E4196" s="503">
        <f>E4197</f>
        <v>86500</v>
      </c>
      <c r="F4196" s="597">
        <f t="shared" ref="F4196:G4196" si="3244">E4196*1.1</f>
        <v>95150.000000000015</v>
      </c>
      <c r="G4196" s="597">
        <f t="shared" si="3244"/>
        <v>104665.00000000003</v>
      </c>
      <c r="H4196" s="132"/>
    </row>
    <row r="4197" spans="1:8" s="293" customFormat="1" outlineLevel="3">
      <c r="A4197" s="505"/>
      <c r="B4197" s="505"/>
      <c r="C4197" s="355">
        <v>2210201</v>
      </c>
      <c r="D4197" s="671" t="s">
        <v>158</v>
      </c>
      <c r="E4197" s="669">
        <v>86500</v>
      </c>
      <c r="F4197" s="597">
        <f t="shared" ref="F4197:G4197" si="3245">E4197*1.1</f>
        <v>95150.000000000015</v>
      </c>
      <c r="G4197" s="597">
        <f t="shared" si="3245"/>
        <v>104665.00000000003</v>
      </c>
      <c r="H4197" s="132"/>
    </row>
    <row r="4198" spans="1:8" s="293" customFormat="1" ht="30" outlineLevel="3">
      <c r="A4198" s="505"/>
      <c r="B4198" s="505"/>
      <c r="C4198" s="484">
        <v>2210300</v>
      </c>
      <c r="D4198" s="670" t="s">
        <v>23</v>
      </c>
      <c r="E4198" s="503">
        <f>E4199+E4200+E4201</f>
        <v>1493000</v>
      </c>
      <c r="F4198" s="597">
        <f t="shared" ref="F4198:G4198" si="3246">E4198*1.1</f>
        <v>1642300.0000000002</v>
      </c>
      <c r="G4198" s="597">
        <f t="shared" si="3246"/>
        <v>1806530.0000000005</v>
      </c>
      <c r="H4198" s="132"/>
    </row>
    <row r="4199" spans="1:8" outlineLevel="3">
      <c r="A4199" s="505"/>
      <c r="B4199" s="505"/>
      <c r="C4199" s="483">
        <v>2210301</v>
      </c>
      <c r="D4199" s="482" t="s">
        <v>208</v>
      </c>
      <c r="E4199" s="669">
        <v>232000</v>
      </c>
      <c r="F4199" s="597">
        <f t="shared" ref="F4199:G4199" si="3247">E4199*1.1</f>
        <v>255200.00000000003</v>
      </c>
      <c r="G4199" s="597">
        <f t="shared" si="3247"/>
        <v>280720.00000000006</v>
      </c>
    </row>
    <row r="4200" spans="1:8" s="293" customFormat="1" outlineLevel="3">
      <c r="A4200" s="505"/>
      <c r="B4200" s="505"/>
      <c r="C4200" s="355">
        <v>2210302</v>
      </c>
      <c r="D4200" s="671" t="s">
        <v>25</v>
      </c>
      <c r="E4200" s="669">
        <v>261000</v>
      </c>
      <c r="F4200" s="597">
        <f t="shared" ref="F4200:G4200" si="3248">E4200*1.1</f>
        <v>287100</v>
      </c>
      <c r="G4200" s="597">
        <f t="shared" si="3248"/>
        <v>315810</v>
      </c>
      <c r="H4200" s="132"/>
    </row>
    <row r="4201" spans="1:8" s="293" customFormat="1" ht="30" outlineLevel="3">
      <c r="A4201" s="324"/>
      <c r="B4201" s="324"/>
      <c r="C4201" s="437">
        <v>2210303</v>
      </c>
      <c r="D4201" s="494" t="s">
        <v>1119</v>
      </c>
      <c r="E4201" s="501">
        <v>1000000</v>
      </c>
      <c r="F4201" s="597">
        <f t="shared" ref="F4201:G4201" si="3249">E4201*1.1</f>
        <v>1100000</v>
      </c>
      <c r="G4201" s="597">
        <f t="shared" si="3249"/>
        <v>1210000</v>
      </c>
      <c r="H4201" s="132"/>
    </row>
    <row r="4202" spans="1:8" s="293" customFormat="1" outlineLevel="3">
      <c r="A4202" s="505"/>
      <c r="B4202" s="505"/>
      <c r="C4202" s="484">
        <v>2210500</v>
      </c>
      <c r="D4202" s="670" t="s">
        <v>30</v>
      </c>
      <c r="E4202" s="503">
        <f>E4204+E4203</f>
        <v>30000</v>
      </c>
      <c r="F4202" s="597">
        <f t="shared" ref="F4202:G4202" si="3250">E4202*1.1</f>
        <v>33000</v>
      </c>
      <c r="G4202" s="597">
        <f t="shared" si="3250"/>
        <v>36300</v>
      </c>
      <c r="H4202" s="132"/>
    </row>
    <row r="4203" spans="1:8" s="293" customFormat="1" outlineLevel="3">
      <c r="A4203" s="505"/>
      <c r="B4203" s="505"/>
      <c r="C4203" s="355">
        <v>2210503</v>
      </c>
      <c r="D4203" s="671" t="s">
        <v>31</v>
      </c>
      <c r="E4203" s="669">
        <v>10000</v>
      </c>
      <c r="F4203" s="597">
        <f t="shared" ref="F4203:G4203" si="3251">E4203*1.1</f>
        <v>11000</v>
      </c>
      <c r="G4203" s="597">
        <f t="shared" si="3251"/>
        <v>12100.000000000002</v>
      </c>
      <c r="H4203" s="132"/>
    </row>
    <row r="4204" spans="1:8" s="293" customFormat="1" outlineLevel="3">
      <c r="A4204" s="505"/>
      <c r="B4204" s="505"/>
      <c r="C4204" s="355">
        <v>2210504</v>
      </c>
      <c r="D4204" s="671" t="s">
        <v>192</v>
      </c>
      <c r="E4204" s="669">
        <v>20000</v>
      </c>
      <c r="F4204" s="597">
        <f t="shared" ref="F4204:G4204" si="3252">E4204*1.1</f>
        <v>22000</v>
      </c>
      <c r="G4204" s="597">
        <f t="shared" si="3252"/>
        <v>24200.000000000004</v>
      </c>
      <c r="H4204" s="132"/>
    </row>
    <row r="4205" spans="1:8" s="293" customFormat="1" outlineLevel="3">
      <c r="A4205" s="505"/>
      <c r="B4205" s="505"/>
      <c r="C4205" s="484">
        <v>2210700</v>
      </c>
      <c r="D4205" s="670" t="s">
        <v>34</v>
      </c>
      <c r="E4205" s="503">
        <f>SUM(E4206:E4208)</f>
        <v>851523</v>
      </c>
      <c r="F4205" s="597">
        <f t="shared" ref="F4205:G4205" si="3253">E4205*1.1</f>
        <v>936675.3</v>
      </c>
      <c r="G4205" s="597">
        <f t="shared" si="3253"/>
        <v>1030342.8300000002</v>
      </c>
      <c r="H4205" s="132"/>
    </row>
    <row r="4206" spans="1:8" s="293" customFormat="1" outlineLevel="3">
      <c r="A4206" s="505"/>
      <c r="B4206" s="505"/>
      <c r="C4206" s="483">
        <v>2210701</v>
      </c>
      <c r="D4206" s="673" t="s">
        <v>338</v>
      </c>
      <c r="E4206" s="669">
        <v>100000</v>
      </c>
      <c r="F4206" s="597">
        <f t="shared" ref="F4206:G4206" si="3254">E4206*1.1</f>
        <v>110000.00000000001</v>
      </c>
      <c r="G4206" s="597">
        <f t="shared" si="3254"/>
        <v>121000.00000000003</v>
      </c>
      <c r="H4206" s="132"/>
    </row>
    <row r="4207" spans="1:8" s="293" customFormat="1" outlineLevel="3">
      <c r="A4207" s="505"/>
      <c r="B4207" s="505"/>
      <c r="C4207" s="483">
        <v>2210710</v>
      </c>
      <c r="D4207" s="673" t="s">
        <v>339</v>
      </c>
      <c r="E4207" s="669">
        <v>350000</v>
      </c>
      <c r="F4207" s="597">
        <f t="shared" ref="F4207:G4207" si="3255">E4207*1.1</f>
        <v>385000.00000000006</v>
      </c>
      <c r="G4207" s="597">
        <f t="shared" si="3255"/>
        <v>423500.00000000012</v>
      </c>
      <c r="H4207" s="132"/>
    </row>
    <row r="4208" spans="1:8" s="293" customFormat="1" ht="30" outlineLevel="3">
      <c r="A4208" s="505"/>
      <c r="B4208" s="505"/>
      <c r="C4208" s="355">
        <v>2210799</v>
      </c>
      <c r="D4208" s="671" t="s">
        <v>1120</v>
      </c>
      <c r="E4208" s="669">
        <v>401523</v>
      </c>
      <c r="F4208" s="597">
        <f t="shared" ref="F4208:G4208" si="3256">E4208*1.1</f>
        <v>441675.30000000005</v>
      </c>
      <c r="G4208" s="597">
        <f t="shared" si="3256"/>
        <v>485842.83000000007</v>
      </c>
      <c r="H4208" s="132"/>
    </row>
    <row r="4209" spans="1:8" s="293" customFormat="1" outlineLevel="3">
      <c r="A4209" s="505"/>
      <c r="B4209" s="505"/>
      <c r="C4209" s="484">
        <v>2210800</v>
      </c>
      <c r="D4209" s="670" t="s">
        <v>41</v>
      </c>
      <c r="E4209" s="503">
        <f>E4210</f>
        <v>546595</v>
      </c>
      <c r="F4209" s="597">
        <f t="shared" ref="F4209:G4209" si="3257">E4209*1.1</f>
        <v>601254.5</v>
      </c>
      <c r="G4209" s="597">
        <f t="shared" si="3257"/>
        <v>661379.95000000007</v>
      </c>
      <c r="H4209" s="132"/>
    </row>
    <row r="4210" spans="1:8" s="293" customFormat="1" outlineLevel="3">
      <c r="A4210" s="505"/>
      <c r="B4210" s="505"/>
      <c r="C4210" s="355">
        <v>2210801</v>
      </c>
      <c r="D4210" s="671" t="s">
        <v>1121</v>
      </c>
      <c r="E4210" s="669">
        <v>546595</v>
      </c>
      <c r="F4210" s="597">
        <f t="shared" ref="F4210:G4210" si="3258">E4210*1.1</f>
        <v>601254.5</v>
      </c>
      <c r="G4210" s="597">
        <f t="shared" si="3258"/>
        <v>661379.95000000007</v>
      </c>
      <c r="H4210" s="132"/>
    </row>
    <row r="4211" spans="1:8" s="293" customFormat="1" outlineLevel="3">
      <c r="A4211" s="505"/>
      <c r="B4211" s="505"/>
      <c r="C4211" s="484">
        <v>2211100</v>
      </c>
      <c r="D4211" s="670" t="s">
        <v>49</v>
      </c>
      <c r="E4211" s="503">
        <f>E4212+E4213</f>
        <v>640000</v>
      </c>
      <c r="F4211" s="597">
        <f t="shared" ref="F4211:G4211" si="3259">E4211*1.1</f>
        <v>704000</v>
      </c>
      <c r="G4211" s="597">
        <f t="shared" si="3259"/>
        <v>774400.00000000012</v>
      </c>
      <c r="H4211" s="132"/>
    </row>
    <row r="4212" spans="1:8" s="293" customFormat="1" ht="30" outlineLevel="3">
      <c r="A4212" s="505"/>
      <c r="B4212" s="505"/>
      <c r="C4212" s="355">
        <v>2211101</v>
      </c>
      <c r="D4212" s="671" t="s">
        <v>722</v>
      </c>
      <c r="E4212" s="669">
        <v>450000</v>
      </c>
      <c r="F4212" s="597">
        <f t="shared" ref="F4212:G4212" si="3260">E4212*1.1</f>
        <v>495000.00000000006</v>
      </c>
      <c r="G4212" s="597">
        <f t="shared" si="3260"/>
        <v>544500.00000000012</v>
      </c>
      <c r="H4212" s="132"/>
    </row>
    <row r="4213" spans="1:8" s="293" customFormat="1" outlineLevel="3">
      <c r="A4213" s="505"/>
      <c r="B4213" s="505"/>
      <c r="C4213" s="355">
        <v>2211103</v>
      </c>
      <c r="D4213" s="671" t="s">
        <v>1122</v>
      </c>
      <c r="E4213" s="669">
        <v>190000</v>
      </c>
      <c r="F4213" s="597">
        <f t="shared" ref="F4213:G4213" si="3261">E4213*1.1</f>
        <v>209000.00000000003</v>
      </c>
      <c r="G4213" s="597">
        <f t="shared" si="3261"/>
        <v>229900.00000000006</v>
      </c>
      <c r="H4213" s="132"/>
    </row>
    <row r="4214" spans="1:8" s="293" customFormat="1" outlineLevel="3">
      <c r="A4214" s="505"/>
      <c r="B4214" s="505"/>
      <c r="C4214" s="484">
        <v>2211200</v>
      </c>
      <c r="D4214" s="670" t="s">
        <v>53</v>
      </c>
      <c r="E4214" s="503">
        <f>SUM(E4215)</f>
        <v>1050000</v>
      </c>
      <c r="F4214" s="597">
        <f t="shared" ref="F4214:G4214" si="3262">E4214*1.1</f>
        <v>1155000</v>
      </c>
      <c r="G4214" s="597">
        <f t="shared" si="3262"/>
        <v>1270500</v>
      </c>
      <c r="H4214" s="132"/>
    </row>
    <row r="4215" spans="1:8" s="293" customFormat="1" ht="45" outlineLevel="3">
      <c r="A4215" s="505"/>
      <c r="B4215" s="505"/>
      <c r="C4215" s="355">
        <v>2211201</v>
      </c>
      <c r="D4215" s="671" t="s">
        <v>1111</v>
      </c>
      <c r="E4215" s="669">
        <v>1050000</v>
      </c>
      <c r="F4215" s="597">
        <f t="shared" ref="F4215:G4215" si="3263">E4215*1.1</f>
        <v>1155000</v>
      </c>
      <c r="G4215" s="597">
        <f t="shared" si="3263"/>
        <v>1270500</v>
      </c>
      <c r="H4215" s="132"/>
    </row>
    <row r="4216" spans="1:8" s="293" customFormat="1" outlineLevel="3">
      <c r="A4216" s="505"/>
      <c r="B4216" s="505"/>
      <c r="C4216" s="443">
        <v>2211300</v>
      </c>
      <c r="D4216" s="492" t="s">
        <v>55</v>
      </c>
      <c r="E4216" s="503">
        <f>E4217</f>
        <v>20000</v>
      </c>
      <c r="F4216" s="597">
        <f t="shared" ref="F4216:G4216" si="3264">E4216*1.1</f>
        <v>22000</v>
      </c>
      <c r="G4216" s="597">
        <f t="shared" si="3264"/>
        <v>24200.000000000004</v>
      </c>
      <c r="H4216" s="132"/>
    </row>
    <row r="4217" spans="1:8" s="293" customFormat="1" ht="30" outlineLevel="3">
      <c r="A4217" s="505"/>
      <c r="B4217" s="505"/>
      <c r="C4217" s="355">
        <v>2211306</v>
      </c>
      <c r="D4217" s="671" t="s">
        <v>57</v>
      </c>
      <c r="E4217" s="669">
        <v>20000</v>
      </c>
      <c r="F4217" s="597">
        <f t="shared" ref="F4217:G4217" si="3265">E4217*1.1</f>
        <v>22000</v>
      </c>
      <c r="G4217" s="597">
        <f t="shared" si="3265"/>
        <v>24200.000000000004</v>
      </c>
      <c r="H4217" s="132"/>
    </row>
    <row r="4218" spans="1:8" s="293" customFormat="1" outlineLevel="3">
      <c r="A4218" s="505"/>
      <c r="B4218" s="505"/>
      <c r="C4218" s="484">
        <v>2220200</v>
      </c>
      <c r="D4218" s="653" t="s">
        <v>179</v>
      </c>
      <c r="E4218" s="503">
        <f>E4219</f>
        <v>400000</v>
      </c>
      <c r="F4218" s="597">
        <f t="shared" ref="F4218:G4218" si="3266">E4218*1.1</f>
        <v>440000.00000000006</v>
      </c>
      <c r="G4218" s="597">
        <f t="shared" si="3266"/>
        <v>484000.00000000012</v>
      </c>
      <c r="H4218" s="132"/>
    </row>
    <row r="4219" spans="1:8" s="293" customFormat="1" ht="30" outlineLevel="3">
      <c r="A4219" s="505"/>
      <c r="B4219" s="505"/>
      <c r="C4219" s="355">
        <v>2220201</v>
      </c>
      <c r="D4219" s="671" t="s">
        <v>1123</v>
      </c>
      <c r="E4219" s="669">
        <v>400000</v>
      </c>
      <c r="F4219" s="597">
        <f t="shared" ref="F4219:G4219" si="3267">E4219*1.1</f>
        <v>440000.00000000006</v>
      </c>
      <c r="G4219" s="597">
        <f t="shared" si="3267"/>
        <v>484000.00000000012</v>
      </c>
      <c r="H4219" s="132"/>
    </row>
    <row r="4220" spans="1:8" s="293" customFormat="1" ht="30" outlineLevel="3">
      <c r="A4220" s="505"/>
      <c r="B4220" s="505"/>
      <c r="C4220" s="355">
        <v>3111400</v>
      </c>
      <c r="D4220" s="502" t="s">
        <v>1124</v>
      </c>
      <c r="E4220" s="503">
        <f>SUM(E4221)</f>
        <v>700000</v>
      </c>
      <c r="F4220" s="597">
        <f t="shared" ref="F4220:G4220" si="3268">E4220*1.1</f>
        <v>770000.00000000012</v>
      </c>
      <c r="G4220" s="597">
        <f t="shared" si="3268"/>
        <v>847000.00000000023</v>
      </c>
      <c r="H4220" s="132"/>
    </row>
    <row r="4221" spans="1:8" s="293" customFormat="1" ht="45" outlineLevel="3">
      <c r="A4221" s="505"/>
      <c r="B4221" s="505"/>
      <c r="C4221" s="355">
        <v>3111401</v>
      </c>
      <c r="D4221" s="671" t="s">
        <v>1125</v>
      </c>
      <c r="E4221" s="669">
        <v>700000</v>
      </c>
      <c r="F4221" s="597">
        <f t="shared" ref="F4221:G4221" si="3269">E4221*1.1</f>
        <v>770000.00000000012</v>
      </c>
      <c r="G4221" s="597">
        <f t="shared" si="3269"/>
        <v>847000.00000000023</v>
      </c>
      <c r="H4221" s="132"/>
    </row>
    <row r="4222" spans="1:8" s="293" customFormat="1" outlineLevel="2">
      <c r="A4222" s="505"/>
      <c r="B4222" s="505"/>
      <c r="C4222" s="355"/>
      <c r="D4222" s="672" t="s">
        <v>183</v>
      </c>
      <c r="E4222" s="500">
        <f>E4194+E4196+E4198+E4202+E4205+E4209+E4211+E4214+E4216+E4218+E4220</f>
        <v>6247618</v>
      </c>
      <c r="F4222" s="597">
        <f t="shared" ref="F4222:G4222" si="3270">E4222*1.1</f>
        <v>6872379.8000000007</v>
      </c>
      <c r="G4222" s="597">
        <f t="shared" si="3270"/>
        <v>7559617.7800000012</v>
      </c>
      <c r="H4222" s="132"/>
    </row>
    <row r="4223" spans="1:8" s="293" customFormat="1" outlineLevel="2">
      <c r="A4223" s="505"/>
      <c r="B4223" s="505"/>
      <c r="C4223" s="355"/>
      <c r="D4223" s="672"/>
      <c r="E4223" s="500"/>
      <c r="F4223" s="597">
        <f t="shared" ref="F4223:G4223" si="3271">E4223*1.1</f>
        <v>0</v>
      </c>
      <c r="G4223" s="597">
        <f t="shared" si="3271"/>
        <v>0</v>
      </c>
      <c r="H4223" s="132"/>
    </row>
    <row r="4224" spans="1:8" s="293" customFormat="1" outlineLevel="2">
      <c r="A4224" s="505"/>
      <c r="B4224" s="505"/>
      <c r="C4224" s="437"/>
      <c r="D4224" s="492" t="s">
        <v>184</v>
      </c>
      <c r="E4224" s="499"/>
      <c r="F4224" s="597">
        <f t="shared" ref="F4224:G4224" si="3272">E4224*1.1</f>
        <v>0</v>
      </c>
      <c r="G4224" s="597">
        <f t="shared" si="3272"/>
        <v>0</v>
      </c>
      <c r="H4224" s="132"/>
    </row>
    <row r="4225" spans="1:8" s="293" customFormat="1" outlineLevel="3">
      <c r="A4225" s="505"/>
      <c r="B4225" s="505"/>
      <c r="C4225" s="441">
        <v>3110400</v>
      </c>
      <c r="D4225" s="502" t="s">
        <v>1126</v>
      </c>
      <c r="E4225" s="499">
        <f>SUM(E4226)</f>
        <v>1700000</v>
      </c>
      <c r="F4225" s="597">
        <f t="shared" ref="F4225:G4225" si="3273">E4225*1.1</f>
        <v>1870000.0000000002</v>
      </c>
      <c r="G4225" s="597">
        <f t="shared" si="3273"/>
        <v>2057000.0000000005</v>
      </c>
      <c r="H4225" s="132"/>
    </row>
    <row r="4226" spans="1:8" s="293" customFormat="1" outlineLevel="3">
      <c r="A4226" s="505"/>
      <c r="B4226" s="505"/>
      <c r="C4226" s="355">
        <v>3110402</v>
      </c>
      <c r="D4226" s="671" t="s">
        <v>1127</v>
      </c>
      <c r="E4226" s="501">
        <v>1700000</v>
      </c>
      <c r="F4226" s="597">
        <f t="shared" ref="F4226:G4226" si="3274">E4226*1.1</f>
        <v>1870000.0000000002</v>
      </c>
      <c r="G4226" s="597">
        <f t="shared" si="3274"/>
        <v>2057000.0000000005</v>
      </c>
      <c r="H4226" s="132"/>
    </row>
    <row r="4227" spans="1:8" s="293" customFormat="1" outlineLevel="3">
      <c r="A4227" s="505"/>
      <c r="B4227" s="505"/>
      <c r="C4227" s="441">
        <v>3110500</v>
      </c>
      <c r="D4227" s="502" t="s">
        <v>1128</v>
      </c>
      <c r="E4227" s="499">
        <f>SUM(E4228:E4229)</f>
        <v>7000000</v>
      </c>
      <c r="F4227" s="597">
        <f t="shared" ref="F4227:G4227" si="3275">E4227*1.1</f>
        <v>7700000.0000000009</v>
      </c>
      <c r="G4227" s="597">
        <f t="shared" si="3275"/>
        <v>8470000.0000000019</v>
      </c>
      <c r="H4227" s="132"/>
    </row>
    <row r="4228" spans="1:8" s="293" customFormat="1" outlineLevel="3">
      <c r="A4228" s="505"/>
      <c r="B4228" s="505"/>
      <c r="C4228" s="355">
        <v>3110504</v>
      </c>
      <c r="D4228" s="382" t="s">
        <v>1129</v>
      </c>
      <c r="E4228" s="319">
        <v>3000000</v>
      </c>
      <c r="F4228" s="597">
        <f t="shared" ref="F4228:G4228" si="3276">E4228*1.1</f>
        <v>3300000.0000000005</v>
      </c>
      <c r="G4228" s="597">
        <f t="shared" si="3276"/>
        <v>3630000.0000000009</v>
      </c>
      <c r="H4228" s="132"/>
    </row>
    <row r="4229" spans="1:8" s="293" customFormat="1" outlineLevel="3">
      <c r="A4229" s="505"/>
      <c r="B4229" s="505"/>
      <c r="C4229" s="437">
        <v>3110599</v>
      </c>
      <c r="D4229" s="494" t="s">
        <v>1130</v>
      </c>
      <c r="E4229" s="319">
        <v>4000000</v>
      </c>
      <c r="F4229" s="597">
        <f t="shared" ref="F4229:G4229" si="3277">E4229*1.1</f>
        <v>4400000</v>
      </c>
      <c r="G4229" s="597">
        <f t="shared" si="3277"/>
        <v>4840000</v>
      </c>
      <c r="H4229" s="132"/>
    </row>
    <row r="4230" spans="1:8" s="293" customFormat="1" ht="30" outlineLevel="3">
      <c r="A4230" s="505"/>
      <c r="B4230" s="505"/>
      <c r="C4230" s="441">
        <v>3111400</v>
      </c>
      <c r="D4230" s="502" t="s">
        <v>68</v>
      </c>
      <c r="E4230" s="503">
        <f>E4231</f>
        <v>1000000</v>
      </c>
      <c r="F4230" s="597">
        <f t="shared" ref="F4230:G4230" si="3278">E4230*1.1</f>
        <v>1100000</v>
      </c>
      <c r="G4230" s="597">
        <f t="shared" si="3278"/>
        <v>1210000</v>
      </c>
      <c r="H4230" s="132"/>
    </row>
    <row r="4231" spans="1:8" s="293" customFormat="1" outlineLevel="3">
      <c r="A4231" s="505"/>
      <c r="B4231" s="505"/>
      <c r="C4231" s="437">
        <v>3111499</v>
      </c>
      <c r="D4231" s="671" t="s">
        <v>1131</v>
      </c>
      <c r="E4231" s="319">
        <v>1000000</v>
      </c>
      <c r="F4231" s="597">
        <f t="shared" ref="F4231:G4231" si="3279">E4231*1.1</f>
        <v>1100000</v>
      </c>
      <c r="G4231" s="597">
        <f t="shared" si="3279"/>
        <v>1210000</v>
      </c>
      <c r="H4231" s="132"/>
    </row>
    <row r="4232" spans="1:8" s="293" customFormat="1" outlineLevel="2">
      <c r="A4232" s="505"/>
      <c r="B4232" s="505"/>
      <c r="C4232" s="437"/>
      <c r="D4232" s="670" t="s">
        <v>348</v>
      </c>
      <c r="E4232" s="499">
        <f>E4227+E4230+E4225</f>
        <v>9700000</v>
      </c>
      <c r="F4232" s="597">
        <f t="shared" ref="F4232:G4232" si="3280">E4232*1.1</f>
        <v>10670000</v>
      </c>
      <c r="G4232" s="597">
        <f t="shared" si="3280"/>
        <v>11737000.000000002</v>
      </c>
      <c r="H4232" s="132"/>
    </row>
    <row r="4233" spans="1:8" s="293" customFormat="1" outlineLevel="1">
      <c r="A4233" s="505"/>
      <c r="B4233" s="505"/>
      <c r="C4233" s="437"/>
      <c r="D4233" s="670" t="s">
        <v>1116</v>
      </c>
      <c r="E4233" s="499">
        <f>E4222+E4232</f>
        <v>15947618</v>
      </c>
      <c r="F4233" s="597">
        <f t="shared" ref="F4233:G4233" si="3281">E4233*1.1</f>
        <v>17542379.800000001</v>
      </c>
      <c r="G4233" s="597">
        <f t="shared" si="3281"/>
        <v>19296617.780000001</v>
      </c>
      <c r="H4233" s="132"/>
    </row>
    <row r="4234" spans="1:8" s="293" customFormat="1" outlineLevel="1">
      <c r="A4234" s="505"/>
      <c r="B4234" s="505"/>
      <c r="C4234" s="355"/>
      <c r="D4234" s="487"/>
      <c r="E4234" s="500"/>
      <c r="F4234" s="597">
        <f t="shared" ref="F4234:G4234" si="3282">E4234*1.1</f>
        <v>0</v>
      </c>
      <c r="G4234" s="597">
        <f t="shared" si="3282"/>
        <v>0</v>
      </c>
      <c r="H4234" s="132"/>
    </row>
    <row r="4235" spans="1:8" s="293" customFormat="1" outlineLevel="1">
      <c r="A4235" s="668" t="s">
        <v>430</v>
      </c>
      <c r="B4235" s="668" t="s">
        <v>98</v>
      </c>
      <c r="C4235" s="355"/>
      <c r="D4235" s="490" t="s">
        <v>1132</v>
      </c>
      <c r="E4235" s="488"/>
      <c r="F4235" s="597">
        <f t="shared" ref="F4235:G4235" si="3283">E4235*1.1</f>
        <v>0</v>
      </c>
      <c r="G4235" s="597">
        <f t="shared" si="3283"/>
        <v>0</v>
      </c>
      <c r="H4235" s="132"/>
    </row>
    <row r="4236" spans="1:8" s="293" customFormat="1" ht="30" outlineLevel="1">
      <c r="A4236" s="505"/>
      <c r="B4236" s="505"/>
      <c r="C4236" s="355"/>
      <c r="D4236" s="490" t="s">
        <v>1133</v>
      </c>
      <c r="E4236" s="488"/>
      <c r="F4236" s="597">
        <f t="shared" ref="F4236:G4236" si="3284">E4236*1.1</f>
        <v>0</v>
      </c>
      <c r="G4236" s="597">
        <f t="shared" si="3284"/>
        <v>0</v>
      </c>
      <c r="H4236" s="132"/>
    </row>
    <row r="4237" spans="1:8" outlineLevel="3">
      <c r="A4237" s="505"/>
      <c r="B4237" s="505"/>
      <c r="C4237" s="484">
        <v>2210100</v>
      </c>
      <c r="D4237" s="477" t="s">
        <v>16</v>
      </c>
      <c r="E4237" s="503">
        <f>E4238+E4239</f>
        <v>1020000</v>
      </c>
      <c r="F4237" s="597">
        <f t="shared" ref="F4237:G4237" si="3285">E4237*1.1</f>
        <v>1122000</v>
      </c>
      <c r="G4237" s="597">
        <f t="shared" si="3285"/>
        <v>1234200</v>
      </c>
    </row>
    <row r="4238" spans="1:8" s="293" customFormat="1" outlineLevel="3">
      <c r="A4238" s="505"/>
      <c r="B4238" s="505"/>
      <c r="C4238" s="355">
        <v>2210101</v>
      </c>
      <c r="D4238" s="671" t="s">
        <v>17</v>
      </c>
      <c r="E4238" s="669">
        <v>650000</v>
      </c>
      <c r="F4238" s="597">
        <f t="shared" ref="F4238:G4238" si="3286">E4238*1.1</f>
        <v>715000</v>
      </c>
      <c r="G4238" s="597">
        <f t="shared" si="3286"/>
        <v>786500.00000000012</v>
      </c>
      <c r="H4238" s="132"/>
    </row>
    <row r="4239" spans="1:8" s="293" customFormat="1" outlineLevel="3">
      <c r="A4239" s="324"/>
      <c r="B4239" s="324"/>
      <c r="C4239" s="437">
        <v>2210102</v>
      </c>
      <c r="D4239" s="494" t="s">
        <v>1118</v>
      </c>
      <c r="E4239" s="501">
        <v>370000</v>
      </c>
      <c r="F4239" s="597">
        <f t="shared" ref="F4239:G4239" si="3287">E4239*1.1</f>
        <v>407000.00000000006</v>
      </c>
      <c r="G4239" s="597">
        <f t="shared" si="3287"/>
        <v>447700.00000000012</v>
      </c>
      <c r="H4239" s="132"/>
    </row>
    <row r="4240" spans="1:8" s="293" customFormat="1" ht="30" outlineLevel="3">
      <c r="A4240" s="505"/>
      <c r="B4240" s="505"/>
      <c r="C4240" s="484">
        <v>2210300</v>
      </c>
      <c r="D4240" s="670" t="s">
        <v>23</v>
      </c>
      <c r="E4240" s="503">
        <f>E4241+E4242+E4243</f>
        <v>1089000</v>
      </c>
      <c r="F4240" s="597">
        <f t="shared" ref="F4240:G4240" si="3288">E4240*1.1</f>
        <v>1197900</v>
      </c>
      <c r="G4240" s="597">
        <f t="shared" si="3288"/>
        <v>1317690</v>
      </c>
      <c r="H4240" s="132"/>
    </row>
    <row r="4241" spans="1:8" s="293" customFormat="1" outlineLevel="3">
      <c r="A4241" s="505"/>
      <c r="B4241" s="505"/>
      <c r="C4241" s="355">
        <v>2210301</v>
      </c>
      <c r="D4241" s="671" t="s">
        <v>24</v>
      </c>
      <c r="E4241" s="669">
        <v>174000</v>
      </c>
      <c r="F4241" s="597">
        <f t="shared" ref="F4241:G4241" si="3289">E4241*1.1</f>
        <v>191400.00000000003</v>
      </c>
      <c r="G4241" s="597">
        <f t="shared" si="3289"/>
        <v>210540.00000000006</v>
      </c>
      <c r="H4241" s="132"/>
    </row>
    <row r="4242" spans="1:8" s="293" customFormat="1" outlineLevel="3">
      <c r="A4242" s="505"/>
      <c r="B4242" s="505"/>
      <c r="C4242" s="355">
        <v>2210302</v>
      </c>
      <c r="D4242" s="671" t="s">
        <v>25</v>
      </c>
      <c r="E4242" s="669">
        <v>435000</v>
      </c>
      <c r="F4242" s="597">
        <f t="shared" ref="F4242:G4242" si="3290">E4242*1.1</f>
        <v>478500.00000000006</v>
      </c>
      <c r="G4242" s="597">
        <f t="shared" si="3290"/>
        <v>526350.00000000012</v>
      </c>
      <c r="H4242" s="132"/>
    </row>
    <row r="4243" spans="1:8" s="293" customFormat="1" outlineLevel="3">
      <c r="A4243" s="505"/>
      <c r="B4243" s="505"/>
      <c r="C4243" s="355">
        <v>2210310</v>
      </c>
      <c r="D4243" s="671" t="s">
        <v>1134</v>
      </c>
      <c r="E4243" s="669">
        <v>480000</v>
      </c>
      <c r="F4243" s="597">
        <f t="shared" ref="F4243:G4243" si="3291">E4243*1.1</f>
        <v>528000</v>
      </c>
      <c r="G4243" s="597">
        <f t="shared" si="3291"/>
        <v>580800</v>
      </c>
      <c r="H4243" s="132"/>
    </row>
    <row r="4244" spans="1:8" s="293" customFormat="1" outlineLevel="3">
      <c r="A4244" s="505"/>
      <c r="B4244" s="505"/>
      <c r="C4244" s="484">
        <v>2210700</v>
      </c>
      <c r="D4244" s="670" t="s">
        <v>34</v>
      </c>
      <c r="E4244" s="503">
        <f>E4245</f>
        <v>200000</v>
      </c>
      <c r="F4244" s="597">
        <f t="shared" ref="F4244:G4244" si="3292">E4244*1.1</f>
        <v>220000.00000000003</v>
      </c>
      <c r="G4244" s="597">
        <f t="shared" si="3292"/>
        <v>242000.00000000006</v>
      </c>
      <c r="H4244" s="132"/>
    </row>
    <row r="4245" spans="1:8" s="293" customFormat="1" ht="30" outlineLevel="3">
      <c r="A4245" s="505"/>
      <c r="B4245" s="505"/>
      <c r="C4245" s="355">
        <v>2210799</v>
      </c>
      <c r="D4245" s="671" t="s">
        <v>1135</v>
      </c>
      <c r="E4245" s="669">
        <v>200000</v>
      </c>
      <c r="F4245" s="597">
        <f t="shared" ref="F4245:G4245" si="3293">E4245*1.1</f>
        <v>220000.00000000003</v>
      </c>
      <c r="G4245" s="597">
        <f t="shared" si="3293"/>
        <v>242000.00000000006</v>
      </c>
      <c r="H4245" s="132"/>
    </row>
    <row r="4246" spans="1:8" s="293" customFormat="1" outlineLevel="3">
      <c r="A4246" s="505"/>
      <c r="B4246" s="505"/>
      <c r="C4246" s="484">
        <v>2211200</v>
      </c>
      <c r="D4246" s="670" t="s">
        <v>53</v>
      </c>
      <c r="E4246" s="503">
        <f>E4247</f>
        <v>1050000</v>
      </c>
      <c r="F4246" s="597">
        <f t="shared" ref="F4246:G4246" si="3294">E4246*1.1</f>
        <v>1155000</v>
      </c>
      <c r="G4246" s="597">
        <f t="shared" si="3294"/>
        <v>1270500</v>
      </c>
      <c r="H4246" s="132"/>
    </row>
    <row r="4247" spans="1:8" s="302" customFormat="1" ht="30" outlineLevel="3">
      <c r="A4247" s="334"/>
      <c r="B4247" s="334"/>
      <c r="C4247" s="437">
        <v>2211201</v>
      </c>
      <c r="D4247" s="494" t="s">
        <v>1136</v>
      </c>
      <c r="E4247" s="501">
        <v>1050000</v>
      </c>
      <c r="F4247" s="597">
        <f t="shared" ref="F4247:G4247" si="3295">E4247*1.1</f>
        <v>1155000</v>
      </c>
      <c r="G4247" s="597">
        <f t="shared" si="3295"/>
        <v>1270500</v>
      </c>
      <c r="H4247" s="132"/>
    </row>
    <row r="4248" spans="1:8" s="293" customFormat="1" outlineLevel="3">
      <c r="A4248" s="505"/>
      <c r="B4248" s="505"/>
      <c r="C4248" s="484">
        <v>2220200</v>
      </c>
      <c r="D4248" s="653" t="s">
        <v>179</v>
      </c>
      <c r="E4248" s="503">
        <f>E4249</f>
        <v>400000</v>
      </c>
      <c r="F4248" s="597">
        <f t="shared" ref="F4248:G4248" si="3296">E4248*1.1</f>
        <v>440000.00000000006</v>
      </c>
      <c r="G4248" s="597">
        <f t="shared" si="3296"/>
        <v>484000.00000000012</v>
      </c>
      <c r="H4248" s="132"/>
    </row>
    <row r="4249" spans="1:8" s="293" customFormat="1" ht="30" outlineLevel="3">
      <c r="A4249" s="505"/>
      <c r="B4249" s="505"/>
      <c r="C4249" s="355">
        <v>2220201</v>
      </c>
      <c r="D4249" s="671" t="s">
        <v>1137</v>
      </c>
      <c r="E4249" s="669">
        <v>400000</v>
      </c>
      <c r="F4249" s="597">
        <f t="shared" ref="F4249:G4249" si="3297">E4249*1.1</f>
        <v>440000.00000000006</v>
      </c>
      <c r="G4249" s="597">
        <f t="shared" si="3297"/>
        <v>484000.00000000012</v>
      </c>
      <c r="H4249" s="132"/>
    </row>
    <row r="4250" spans="1:8" s="293" customFormat="1" outlineLevel="3">
      <c r="A4250" s="505"/>
      <c r="B4250" s="505"/>
      <c r="C4250" s="386">
        <v>3111000</v>
      </c>
      <c r="D4250" s="333" t="s">
        <v>65</v>
      </c>
      <c r="E4250" s="503">
        <f>E4251</f>
        <v>300000</v>
      </c>
      <c r="F4250" s="597">
        <f t="shared" ref="F4250:G4250" si="3298">E4250*1.1</f>
        <v>330000</v>
      </c>
      <c r="G4250" s="597">
        <f t="shared" si="3298"/>
        <v>363000.00000000006</v>
      </c>
      <c r="H4250" s="132"/>
    </row>
    <row r="4251" spans="1:8" s="293" customFormat="1" outlineLevel="3">
      <c r="A4251" s="505"/>
      <c r="B4251" s="505"/>
      <c r="C4251" s="355">
        <v>3111002</v>
      </c>
      <c r="D4251" s="671" t="s">
        <v>67</v>
      </c>
      <c r="E4251" s="669">
        <v>300000</v>
      </c>
      <c r="F4251" s="597">
        <f t="shared" ref="F4251:G4251" si="3299">E4251*1.1</f>
        <v>330000</v>
      </c>
      <c r="G4251" s="597">
        <f t="shared" si="3299"/>
        <v>363000.00000000006</v>
      </c>
      <c r="H4251" s="132"/>
    </row>
    <row r="4252" spans="1:8" s="293" customFormat="1" outlineLevel="2">
      <c r="A4252" s="505"/>
      <c r="B4252" s="505"/>
      <c r="C4252" s="355"/>
      <c r="D4252" s="672" t="s">
        <v>183</v>
      </c>
      <c r="E4252" s="500">
        <f>E4237+E4240+E4244+E4246+E4248+E4250</f>
        <v>4059000</v>
      </c>
      <c r="F4252" s="597">
        <f t="shared" ref="F4252:G4252" si="3300">E4252*1.1</f>
        <v>4464900</v>
      </c>
      <c r="G4252" s="597">
        <f t="shared" si="3300"/>
        <v>4911390</v>
      </c>
      <c r="H4252" s="132"/>
    </row>
    <row r="4253" spans="1:8" s="293" customFormat="1" outlineLevel="2">
      <c r="A4253" s="505"/>
      <c r="B4253" s="505"/>
      <c r="C4253" s="355"/>
      <c r="D4253" s="487"/>
      <c r="E4253" s="500"/>
      <c r="F4253" s="597">
        <f t="shared" ref="F4253:G4253" si="3301">E4253*1.1</f>
        <v>0</v>
      </c>
      <c r="G4253" s="597">
        <f t="shared" si="3301"/>
        <v>0</v>
      </c>
      <c r="H4253" s="132"/>
    </row>
    <row r="4254" spans="1:8" s="293" customFormat="1" outlineLevel="2">
      <c r="A4254" s="505"/>
      <c r="B4254" s="505"/>
      <c r="C4254" s="355"/>
      <c r="D4254" s="490" t="s">
        <v>184</v>
      </c>
      <c r="E4254" s="500"/>
      <c r="F4254" s="597">
        <f t="shared" ref="F4254:G4254" si="3302">E4254*1.1</f>
        <v>0</v>
      </c>
      <c r="G4254" s="597">
        <f t="shared" si="3302"/>
        <v>0</v>
      </c>
      <c r="H4254" s="132"/>
    </row>
    <row r="4255" spans="1:8" s="293" customFormat="1" outlineLevel="3">
      <c r="A4255" s="324"/>
      <c r="B4255" s="324"/>
      <c r="C4255" s="443">
        <v>3110500</v>
      </c>
      <c r="D4255" s="492" t="s">
        <v>1128</v>
      </c>
      <c r="E4255" s="499">
        <f>SUM(E4256:E4258)</f>
        <v>21000000</v>
      </c>
      <c r="F4255" s="597">
        <f t="shared" ref="F4255:G4255" si="3303">E4255*1.1</f>
        <v>23100000.000000004</v>
      </c>
      <c r="G4255" s="597">
        <f t="shared" si="3303"/>
        <v>25410000.000000007</v>
      </c>
      <c r="H4255" s="132"/>
    </row>
    <row r="4256" spans="1:8" s="293" customFormat="1" outlineLevel="3">
      <c r="A4256" s="324"/>
      <c r="B4256" s="324"/>
      <c r="C4256" s="355">
        <v>3110502</v>
      </c>
      <c r="D4256" s="382" t="s">
        <v>1138</v>
      </c>
      <c r="E4256" s="319">
        <v>3000000</v>
      </c>
      <c r="F4256" s="597">
        <f t="shared" ref="F4256:G4256" si="3304">E4256*1.1</f>
        <v>3300000.0000000005</v>
      </c>
      <c r="G4256" s="597">
        <f t="shared" si="3304"/>
        <v>3630000.0000000009</v>
      </c>
      <c r="H4256" s="132"/>
    </row>
    <row r="4257" spans="1:8" s="293" customFormat="1" ht="60" outlineLevel="3">
      <c r="A4257" s="324"/>
      <c r="B4257" s="324"/>
      <c r="C4257" s="437">
        <v>3110504</v>
      </c>
      <c r="D4257" s="494" t="s">
        <v>1139</v>
      </c>
      <c r="E4257" s="669">
        <v>15000000</v>
      </c>
      <c r="F4257" s="597">
        <f t="shared" ref="F4257:G4257" si="3305">E4257*1.1</f>
        <v>16500000.000000002</v>
      </c>
      <c r="G4257" s="597">
        <f t="shared" si="3305"/>
        <v>18150000.000000004</v>
      </c>
      <c r="H4257" s="132"/>
    </row>
    <row r="4258" spans="1:8" s="293" customFormat="1" ht="30" outlineLevel="3">
      <c r="A4258" s="324"/>
      <c r="B4258" s="324"/>
      <c r="C4258" s="437">
        <v>3110599</v>
      </c>
      <c r="D4258" s="494" t="s">
        <v>1140</v>
      </c>
      <c r="E4258" s="319">
        <v>3000000</v>
      </c>
      <c r="F4258" s="597">
        <f t="shared" ref="F4258:G4258" si="3306">E4258*1.1</f>
        <v>3300000.0000000005</v>
      </c>
      <c r="G4258" s="597">
        <f t="shared" si="3306"/>
        <v>3630000.0000000009</v>
      </c>
      <c r="H4258" s="132"/>
    </row>
    <row r="4259" spans="1:8" s="308" customFormat="1" outlineLevel="3">
      <c r="A4259" s="505"/>
      <c r="B4259" s="505"/>
      <c r="C4259" s="441">
        <v>3110400</v>
      </c>
      <c r="D4259" s="502" t="s">
        <v>1126</v>
      </c>
      <c r="E4259" s="503">
        <f>SUM(E4260:E4261)</f>
        <v>18300000</v>
      </c>
      <c r="F4259" s="597">
        <f t="shared" ref="F4259:G4259" si="3307">E4259*1.1</f>
        <v>20130000</v>
      </c>
      <c r="G4259" s="597">
        <f t="shared" si="3307"/>
        <v>22143000</v>
      </c>
      <c r="H4259" s="132"/>
    </row>
    <row r="4260" spans="1:8" s="308" customFormat="1" outlineLevel="3">
      <c r="A4260" s="505"/>
      <c r="B4260" s="505"/>
      <c r="C4260" s="355">
        <v>3110401</v>
      </c>
      <c r="D4260" s="671" t="s">
        <v>1141</v>
      </c>
      <c r="E4260" s="669">
        <v>3300000</v>
      </c>
      <c r="F4260" s="597">
        <f t="shared" ref="F4260:G4260" si="3308">E4260*1.1</f>
        <v>3630000.0000000005</v>
      </c>
      <c r="G4260" s="597">
        <f t="shared" si="3308"/>
        <v>3993000.0000000009</v>
      </c>
      <c r="H4260" s="132"/>
    </row>
    <row r="4261" spans="1:8" outlineLevel="3">
      <c r="A4261" s="505"/>
      <c r="B4261" s="505"/>
      <c r="C4261" s="355">
        <v>3110499</v>
      </c>
      <c r="D4261" s="671" t="s">
        <v>1142</v>
      </c>
      <c r="E4261" s="501">
        <v>15000000</v>
      </c>
      <c r="F4261" s="597">
        <f t="shared" ref="F4261:G4261" si="3309">E4261*1.1</f>
        <v>16500000.000000002</v>
      </c>
      <c r="G4261" s="597">
        <f t="shared" si="3309"/>
        <v>18150000.000000004</v>
      </c>
    </row>
    <row r="4262" spans="1:8" outlineLevel="3">
      <c r="A4262" s="324"/>
      <c r="B4262" s="324"/>
      <c r="C4262" s="443">
        <v>3110600</v>
      </c>
      <c r="D4262" s="700" t="s">
        <v>1143</v>
      </c>
      <c r="E4262" s="499">
        <f>SUM(E4263:E4263)</f>
        <v>2500000</v>
      </c>
      <c r="F4262" s="597">
        <f t="shared" ref="F4262:G4262" si="3310">E4262*1.1</f>
        <v>2750000</v>
      </c>
      <c r="G4262" s="597">
        <f t="shared" si="3310"/>
        <v>3025000.0000000005</v>
      </c>
    </row>
    <row r="4263" spans="1:8" outlineLevel="3">
      <c r="A4263" s="324"/>
      <c r="B4263" s="324"/>
      <c r="C4263" s="437">
        <v>3110604</v>
      </c>
      <c r="D4263" s="701" t="s">
        <v>1144</v>
      </c>
      <c r="E4263" s="501">
        <v>2500000</v>
      </c>
      <c r="F4263" s="597">
        <f t="shared" ref="F4263:G4263" si="3311">E4263*1.1</f>
        <v>2750000</v>
      </c>
      <c r="G4263" s="597">
        <f t="shared" si="3311"/>
        <v>3025000.0000000005</v>
      </c>
    </row>
    <row r="4264" spans="1:8" s="293" customFormat="1" ht="30" outlineLevel="3">
      <c r="A4264" s="324"/>
      <c r="B4264" s="324"/>
      <c r="C4264" s="443">
        <v>3111400</v>
      </c>
      <c r="D4264" s="492" t="s">
        <v>68</v>
      </c>
      <c r="E4264" s="499">
        <f>SUM(E4265:E4266)</f>
        <v>2000000</v>
      </c>
      <c r="F4264" s="597">
        <f t="shared" ref="F4264:G4264" si="3312">E4264*1.1</f>
        <v>2200000</v>
      </c>
      <c r="G4264" s="597">
        <f t="shared" si="3312"/>
        <v>2420000</v>
      </c>
      <c r="H4264" s="132"/>
    </row>
    <row r="4265" spans="1:8" s="293" customFormat="1" outlineLevel="3">
      <c r="A4265" s="324"/>
      <c r="B4265" s="324"/>
      <c r="C4265" s="437">
        <v>3111401</v>
      </c>
      <c r="D4265" s="494" t="s">
        <v>1145</v>
      </c>
      <c r="E4265" s="501">
        <v>2000000</v>
      </c>
      <c r="F4265" s="597">
        <f t="shared" ref="F4265:G4265" si="3313">E4265*1.1</f>
        <v>2200000</v>
      </c>
      <c r="G4265" s="597">
        <f t="shared" si="3313"/>
        <v>2420000</v>
      </c>
      <c r="H4265" s="132"/>
    </row>
    <row r="4266" spans="1:8" s="293" customFormat="1" outlineLevel="3">
      <c r="A4266" s="324"/>
      <c r="B4266" s="324"/>
      <c r="C4266" s="437">
        <v>3111402</v>
      </c>
      <c r="D4266" s="382"/>
      <c r="E4266" s="674"/>
      <c r="F4266" s="597">
        <f t="shared" ref="F4266:G4266" si="3314">E4266*1.1</f>
        <v>0</v>
      </c>
      <c r="G4266" s="597">
        <f t="shared" si="3314"/>
        <v>0</v>
      </c>
      <c r="H4266" s="132"/>
    </row>
    <row r="4267" spans="1:8" s="293" customFormat="1" outlineLevel="2">
      <c r="A4267" s="505"/>
      <c r="B4267" s="505"/>
      <c r="C4267" s="355"/>
      <c r="D4267" s="672" t="s">
        <v>348</v>
      </c>
      <c r="E4267" s="500">
        <f>E4259+E4262+E4264+E4255</f>
        <v>43800000</v>
      </c>
      <c r="F4267" s="597">
        <f t="shared" ref="F4267:G4267" si="3315">E4267*1.1</f>
        <v>48180000.000000007</v>
      </c>
      <c r="G4267" s="597">
        <f t="shared" si="3315"/>
        <v>52998000.000000015</v>
      </c>
      <c r="H4267" s="132"/>
    </row>
    <row r="4268" spans="1:8" s="293" customFormat="1" outlineLevel="1">
      <c r="A4268" s="505"/>
      <c r="B4268" s="505"/>
      <c r="C4268" s="355"/>
      <c r="D4268" s="490" t="s">
        <v>1116</v>
      </c>
      <c r="E4268" s="500">
        <f>E4252+E4267</f>
        <v>47859000</v>
      </c>
      <c r="F4268" s="597">
        <f t="shared" ref="F4268:G4268" si="3316">E4268*1.1</f>
        <v>52644900.000000007</v>
      </c>
      <c r="G4268" s="597">
        <f t="shared" si="3316"/>
        <v>57909390.000000015</v>
      </c>
      <c r="H4268" s="132"/>
    </row>
    <row r="4269" spans="1:8" s="293" customFormat="1" outlineLevel="1">
      <c r="A4269" s="505"/>
      <c r="B4269" s="505"/>
      <c r="C4269" s="355"/>
      <c r="D4269" s="671"/>
      <c r="E4269" s="503"/>
      <c r="F4269" s="597">
        <f t="shared" ref="F4269:G4269" si="3317">E4269*1.1</f>
        <v>0</v>
      </c>
      <c r="G4269" s="597">
        <f t="shared" si="3317"/>
        <v>0</v>
      </c>
      <c r="H4269" s="132"/>
    </row>
    <row r="4270" spans="1:8" s="293" customFormat="1" outlineLevel="1">
      <c r="A4270" s="505"/>
      <c r="B4270" s="505"/>
      <c r="C4270" s="355"/>
      <c r="D4270" s="671"/>
      <c r="E4270" s="503"/>
      <c r="F4270" s="597">
        <f t="shared" ref="F4270:G4270" si="3318">E4270*1.1</f>
        <v>0</v>
      </c>
      <c r="G4270" s="597">
        <f t="shared" si="3318"/>
        <v>0</v>
      </c>
      <c r="H4270" s="132"/>
    </row>
    <row r="4271" spans="1:8" s="293" customFormat="1" outlineLevel="1">
      <c r="A4271" s="668" t="s">
        <v>547</v>
      </c>
      <c r="B4271" s="668" t="s">
        <v>98</v>
      </c>
      <c r="C4271" s="355"/>
      <c r="D4271" s="490" t="s">
        <v>1146</v>
      </c>
      <c r="E4271" s="669"/>
      <c r="F4271" s="597">
        <f t="shared" ref="F4271:G4271" si="3319">E4271*1.1</f>
        <v>0</v>
      </c>
      <c r="G4271" s="597">
        <f t="shared" si="3319"/>
        <v>0</v>
      </c>
      <c r="H4271" s="132"/>
    </row>
    <row r="4272" spans="1:8" s="293" customFormat="1" outlineLevel="3">
      <c r="A4272" s="505"/>
      <c r="B4272" s="505"/>
      <c r="C4272" s="484">
        <v>2210100</v>
      </c>
      <c r="D4272" s="477" t="s">
        <v>16</v>
      </c>
      <c r="E4272" s="503">
        <f>E4273</f>
        <v>800000</v>
      </c>
      <c r="F4272" s="597">
        <f t="shared" ref="F4272:G4272" si="3320">E4272*1.1</f>
        <v>880000.00000000012</v>
      </c>
      <c r="G4272" s="597">
        <f t="shared" si="3320"/>
        <v>968000.00000000023</v>
      </c>
      <c r="H4272" s="132"/>
    </row>
    <row r="4273" spans="1:8" s="293" customFormat="1" outlineLevel="3">
      <c r="A4273" s="505"/>
      <c r="B4273" s="505"/>
      <c r="C4273" s="355">
        <v>2210101</v>
      </c>
      <c r="D4273" s="671" t="s">
        <v>17</v>
      </c>
      <c r="E4273" s="669">
        <v>800000</v>
      </c>
      <c r="F4273" s="597">
        <f t="shared" ref="F4273:G4273" si="3321">E4273*1.1</f>
        <v>880000.00000000012</v>
      </c>
      <c r="G4273" s="597">
        <f t="shared" si="3321"/>
        <v>968000.00000000023</v>
      </c>
      <c r="H4273" s="132"/>
    </row>
    <row r="4274" spans="1:8" s="293" customFormat="1" outlineLevel="3">
      <c r="A4274" s="505"/>
      <c r="B4274" s="505"/>
      <c r="C4274" s="484">
        <v>2210200</v>
      </c>
      <c r="D4274" s="670" t="s">
        <v>19</v>
      </c>
      <c r="E4274" s="503">
        <f>E4275</f>
        <v>87000</v>
      </c>
      <c r="F4274" s="597">
        <f t="shared" ref="F4274:G4274" si="3322">E4274*1.1</f>
        <v>95700.000000000015</v>
      </c>
      <c r="G4274" s="597">
        <f t="shared" si="3322"/>
        <v>105270.00000000003</v>
      </c>
      <c r="H4274" s="132"/>
    </row>
    <row r="4275" spans="1:8" s="293" customFormat="1" outlineLevel="3">
      <c r="A4275" s="505"/>
      <c r="B4275" s="505"/>
      <c r="C4275" s="355">
        <v>2210201</v>
      </c>
      <c r="D4275" s="671" t="s">
        <v>158</v>
      </c>
      <c r="E4275" s="669">
        <v>87000</v>
      </c>
      <c r="F4275" s="597">
        <f t="shared" ref="F4275:G4275" si="3323">E4275*1.1</f>
        <v>95700.000000000015</v>
      </c>
      <c r="G4275" s="597">
        <f t="shared" si="3323"/>
        <v>105270.00000000003</v>
      </c>
      <c r="H4275" s="132"/>
    </row>
    <row r="4276" spans="1:8" s="293" customFormat="1" ht="30" outlineLevel="3">
      <c r="A4276" s="505"/>
      <c r="B4276" s="505"/>
      <c r="C4276" s="484">
        <v>2210300</v>
      </c>
      <c r="D4276" s="670" t="s">
        <v>23</v>
      </c>
      <c r="E4276" s="503">
        <f>E4277+E4278+E4279</f>
        <v>1042000</v>
      </c>
      <c r="F4276" s="597">
        <f t="shared" ref="F4276:G4276" si="3324">E4276*1.1</f>
        <v>1146200</v>
      </c>
      <c r="G4276" s="597">
        <f t="shared" si="3324"/>
        <v>1260820</v>
      </c>
      <c r="H4276" s="132"/>
    </row>
    <row r="4277" spans="1:8" s="293" customFormat="1" outlineLevel="3">
      <c r="A4277" s="505"/>
      <c r="B4277" s="505"/>
      <c r="C4277" s="483">
        <v>2210301</v>
      </c>
      <c r="D4277" s="482" t="s">
        <v>208</v>
      </c>
      <c r="E4277" s="669">
        <v>406000</v>
      </c>
      <c r="F4277" s="597">
        <f t="shared" ref="F4277:G4277" si="3325">E4277*1.1</f>
        <v>446600.00000000006</v>
      </c>
      <c r="G4277" s="597">
        <f t="shared" si="3325"/>
        <v>491260.00000000012</v>
      </c>
      <c r="H4277" s="132"/>
    </row>
    <row r="4278" spans="1:8" s="293" customFormat="1" outlineLevel="3">
      <c r="A4278" s="505"/>
      <c r="B4278" s="505"/>
      <c r="C4278" s="355">
        <v>2210302</v>
      </c>
      <c r="D4278" s="671" t="s">
        <v>25</v>
      </c>
      <c r="E4278" s="669">
        <v>116000</v>
      </c>
      <c r="F4278" s="597">
        <f t="shared" ref="F4278:G4278" si="3326">E4278*1.1</f>
        <v>127600.00000000001</v>
      </c>
      <c r="G4278" s="597">
        <f t="shared" si="3326"/>
        <v>140360.00000000003</v>
      </c>
      <c r="H4278" s="132"/>
    </row>
    <row r="4279" spans="1:8" s="293" customFormat="1" outlineLevel="3">
      <c r="A4279" s="505"/>
      <c r="B4279" s="505"/>
      <c r="C4279" s="355">
        <v>2210303</v>
      </c>
      <c r="D4279" s="671" t="s">
        <v>1147</v>
      </c>
      <c r="E4279" s="669">
        <v>520000</v>
      </c>
      <c r="F4279" s="597">
        <f t="shared" ref="F4279:G4279" si="3327">E4279*1.1</f>
        <v>572000</v>
      </c>
      <c r="G4279" s="597">
        <f t="shared" si="3327"/>
        <v>629200</v>
      </c>
      <c r="H4279" s="132"/>
    </row>
    <row r="4280" spans="1:8" s="293" customFormat="1" outlineLevel="3">
      <c r="A4280" s="505"/>
      <c r="B4280" s="320"/>
      <c r="C4280" s="444">
        <v>2210500</v>
      </c>
      <c r="D4280" s="445" t="s">
        <v>30</v>
      </c>
      <c r="E4280" s="503">
        <f>E4281</f>
        <v>500000</v>
      </c>
      <c r="F4280" s="597">
        <f t="shared" ref="F4280:G4280" si="3328">E4280*1.1</f>
        <v>550000</v>
      </c>
      <c r="G4280" s="597">
        <f t="shared" si="3328"/>
        <v>605000</v>
      </c>
      <c r="H4280" s="132"/>
    </row>
    <row r="4281" spans="1:8" s="293" customFormat="1" outlineLevel="3">
      <c r="A4281" s="505"/>
      <c r="B4281" s="505"/>
      <c r="C4281" s="451">
        <v>2210505</v>
      </c>
      <c r="D4281" s="449" t="s">
        <v>213</v>
      </c>
      <c r="E4281" s="669">
        <v>500000</v>
      </c>
      <c r="F4281" s="597">
        <f t="shared" ref="F4281:G4281" si="3329">E4281*1.1</f>
        <v>550000</v>
      </c>
      <c r="G4281" s="597">
        <f t="shared" si="3329"/>
        <v>605000</v>
      </c>
      <c r="H4281" s="132"/>
    </row>
    <row r="4282" spans="1:8" s="293" customFormat="1" outlineLevel="3">
      <c r="A4282" s="505"/>
      <c r="B4282" s="505"/>
      <c r="C4282" s="484">
        <v>2210700</v>
      </c>
      <c r="D4282" s="670" t="s">
        <v>34</v>
      </c>
      <c r="E4282" s="503">
        <f>E4283</f>
        <v>200000</v>
      </c>
      <c r="F4282" s="597">
        <f t="shared" ref="F4282:G4282" si="3330">E4282*1.1</f>
        <v>220000.00000000003</v>
      </c>
      <c r="G4282" s="597">
        <f t="shared" si="3330"/>
        <v>242000.00000000006</v>
      </c>
      <c r="H4282" s="132"/>
    </row>
    <row r="4283" spans="1:8" s="293" customFormat="1" ht="30" outlineLevel="3">
      <c r="A4283" s="505"/>
      <c r="B4283" s="505"/>
      <c r="C4283" s="355">
        <v>2210799</v>
      </c>
      <c r="D4283" s="671" t="s">
        <v>1148</v>
      </c>
      <c r="E4283" s="669">
        <v>200000</v>
      </c>
      <c r="F4283" s="597">
        <f t="shared" ref="F4283:G4283" si="3331">E4283*1.1</f>
        <v>220000.00000000003</v>
      </c>
      <c r="G4283" s="597">
        <f t="shared" si="3331"/>
        <v>242000.00000000006</v>
      </c>
      <c r="H4283" s="132"/>
    </row>
    <row r="4284" spans="1:8" s="293" customFormat="1" outlineLevel="3">
      <c r="A4284" s="505"/>
      <c r="B4284" s="505"/>
      <c r="C4284" s="484">
        <v>2211100</v>
      </c>
      <c r="D4284" s="670" t="s">
        <v>49</v>
      </c>
      <c r="E4284" s="503">
        <f>E4285</f>
        <v>400000</v>
      </c>
      <c r="F4284" s="597">
        <f t="shared" ref="F4284:G4284" si="3332">E4284*1.1</f>
        <v>440000.00000000006</v>
      </c>
      <c r="G4284" s="597">
        <f t="shared" si="3332"/>
        <v>484000.00000000012</v>
      </c>
      <c r="H4284" s="132"/>
    </row>
    <row r="4285" spans="1:8" s="293" customFormat="1" outlineLevel="3">
      <c r="A4285" s="505"/>
      <c r="B4285" s="505"/>
      <c r="C4285" s="355">
        <v>2211102</v>
      </c>
      <c r="D4285" s="494" t="s">
        <v>51</v>
      </c>
      <c r="E4285" s="669">
        <v>400000</v>
      </c>
      <c r="F4285" s="597">
        <f t="shared" ref="F4285:G4285" si="3333">E4285*1.1</f>
        <v>440000.00000000006</v>
      </c>
      <c r="G4285" s="597">
        <f t="shared" si="3333"/>
        <v>484000.00000000012</v>
      </c>
      <c r="H4285" s="132"/>
    </row>
    <row r="4286" spans="1:8" s="293" customFormat="1" outlineLevel="3">
      <c r="A4286" s="505"/>
      <c r="B4286" s="505"/>
      <c r="C4286" s="484">
        <v>2211200</v>
      </c>
      <c r="D4286" s="670" t="s">
        <v>53</v>
      </c>
      <c r="E4286" s="503">
        <f>E4287</f>
        <v>1000000</v>
      </c>
      <c r="F4286" s="597">
        <f t="shared" ref="F4286:G4286" si="3334">E4286*1.1</f>
        <v>1100000</v>
      </c>
      <c r="G4286" s="597">
        <f t="shared" si="3334"/>
        <v>1210000</v>
      </c>
      <c r="H4286" s="132"/>
    </row>
    <row r="4287" spans="1:8" s="293" customFormat="1" ht="45" outlineLevel="3">
      <c r="A4287" s="505"/>
      <c r="B4287" s="505"/>
      <c r="C4287" s="355">
        <v>2211201</v>
      </c>
      <c r="D4287" s="671" t="s">
        <v>1149</v>
      </c>
      <c r="E4287" s="669">
        <v>1000000</v>
      </c>
      <c r="F4287" s="597">
        <f t="shared" ref="F4287:G4287" si="3335">E4287*1.1</f>
        <v>1100000</v>
      </c>
      <c r="G4287" s="597">
        <f t="shared" si="3335"/>
        <v>1210000</v>
      </c>
      <c r="H4287" s="132"/>
    </row>
    <row r="4288" spans="1:8" s="308" customFormat="1" outlineLevel="3">
      <c r="A4288" s="505"/>
      <c r="B4288" s="505"/>
      <c r="C4288" s="441">
        <v>2211300</v>
      </c>
      <c r="D4288" s="502" t="s">
        <v>950</v>
      </c>
      <c r="E4288" s="503">
        <f>E4289</f>
        <v>150000</v>
      </c>
      <c r="F4288" s="597">
        <f t="shared" ref="F4288:G4288" si="3336">E4288*1.1</f>
        <v>165000</v>
      </c>
      <c r="G4288" s="597">
        <f t="shared" si="3336"/>
        <v>181500.00000000003</v>
      </c>
      <c r="H4288" s="132"/>
    </row>
    <row r="4289" spans="1:8" s="293" customFormat="1" outlineLevel="3">
      <c r="A4289" s="505"/>
      <c r="B4289" s="505"/>
      <c r="C4289" s="355">
        <v>2211305</v>
      </c>
      <c r="D4289" s="671" t="s">
        <v>451</v>
      </c>
      <c r="E4289" s="669">
        <v>150000</v>
      </c>
      <c r="F4289" s="597">
        <f t="shared" ref="F4289:G4289" si="3337">E4289*1.1</f>
        <v>165000</v>
      </c>
      <c r="G4289" s="597">
        <f t="shared" si="3337"/>
        <v>181500.00000000003</v>
      </c>
      <c r="H4289" s="132"/>
    </row>
    <row r="4290" spans="1:8" s="293" customFormat="1" outlineLevel="3">
      <c r="A4290" s="320"/>
      <c r="B4290" s="320"/>
      <c r="C4290" s="441">
        <v>2220200</v>
      </c>
      <c r="D4290" s="502" t="s">
        <v>368</v>
      </c>
      <c r="E4290" s="503">
        <f>E4291</f>
        <v>200000</v>
      </c>
      <c r="F4290" s="597">
        <f t="shared" ref="F4290:G4290" si="3338">E4290*1.1</f>
        <v>220000.00000000003</v>
      </c>
      <c r="G4290" s="597">
        <f t="shared" si="3338"/>
        <v>242000.00000000006</v>
      </c>
      <c r="H4290" s="132"/>
    </row>
    <row r="4291" spans="1:8" s="293" customFormat="1" ht="30" outlineLevel="3">
      <c r="A4291" s="320"/>
      <c r="B4291" s="320"/>
      <c r="C4291" s="355">
        <v>2220210</v>
      </c>
      <c r="D4291" s="671" t="s">
        <v>1112</v>
      </c>
      <c r="E4291" s="669">
        <v>200000</v>
      </c>
      <c r="F4291" s="597">
        <f t="shared" ref="F4291:G4291" si="3339">E4291*1.1</f>
        <v>220000.00000000003</v>
      </c>
      <c r="G4291" s="597">
        <f t="shared" si="3339"/>
        <v>242000.00000000006</v>
      </c>
      <c r="H4291" s="132"/>
    </row>
    <row r="4292" spans="1:8" s="293" customFormat="1" ht="30" outlineLevel="3">
      <c r="A4292" s="320"/>
      <c r="B4292" s="320"/>
      <c r="C4292" s="386" t="s">
        <v>293</v>
      </c>
      <c r="D4292" s="619" t="s">
        <v>61</v>
      </c>
      <c r="E4292" s="503">
        <f>E4293</f>
        <v>400000</v>
      </c>
      <c r="F4292" s="597">
        <f t="shared" ref="F4292:G4292" si="3340">E4292*1.1</f>
        <v>440000.00000000006</v>
      </c>
      <c r="G4292" s="597">
        <f t="shared" si="3340"/>
        <v>484000.00000000012</v>
      </c>
      <c r="H4292" s="132"/>
    </row>
    <row r="4293" spans="1:8" s="293" customFormat="1" outlineLevel="3">
      <c r="A4293" s="505"/>
      <c r="B4293" s="505"/>
      <c r="C4293" s="483">
        <v>2220101</v>
      </c>
      <c r="D4293" s="482" t="s">
        <v>441</v>
      </c>
      <c r="E4293" s="669">
        <v>400000</v>
      </c>
      <c r="F4293" s="597">
        <f t="shared" ref="F4293:G4293" si="3341">E4293*1.1</f>
        <v>440000.00000000006</v>
      </c>
      <c r="G4293" s="597">
        <f t="shared" si="3341"/>
        <v>484000.00000000012</v>
      </c>
      <c r="H4293" s="132"/>
    </row>
    <row r="4294" spans="1:8" s="293" customFormat="1" outlineLevel="2">
      <c r="A4294" s="505"/>
      <c r="B4294" s="505"/>
      <c r="C4294" s="355"/>
      <c r="D4294" s="672" t="s">
        <v>183</v>
      </c>
      <c r="E4294" s="500">
        <f>E4272+E4274+E4280+E4292+E4276+E4282+E4286+E4284+E4288+E4290</f>
        <v>4779000</v>
      </c>
      <c r="F4294" s="597">
        <f t="shared" ref="F4294:G4294" si="3342">E4294*1.1</f>
        <v>5256900</v>
      </c>
      <c r="G4294" s="597">
        <f t="shared" si="3342"/>
        <v>5782590.0000000009</v>
      </c>
      <c r="H4294" s="132"/>
    </row>
    <row r="4295" spans="1:8" s="308" customFormat="1" outlineLevel="2">
      <c r="A4295" s="505"/>
      <c r="B4295" s="505"/>
      <c r="C4295" s="355"/>
      <c r="D4295" s="487"/>
      <c r="E4295" s="500"/>
      <c r="F4295" s="597">
        <f t="shared" ref="F4295:G4295" si="3343">E4295*1.1</f>
        <v>0</v>
      </c>
      <c r="G4295" s="597">
        <f t="shared" si="3343"/>
        <v>0</v>
      </c>
      <c r="H4295" s="132"/>
    </row>
    <row r="4296" spans="1:8" outlineLevel="2">
      <c r="A4296" s="505"/>
      <c r="B4296" s="505"/>
      <c r="C4296" s="355"/>
      <c r="D4296" s="490" t="s">
        <v>184</v>
      </c>
      <c r="E4296" s="500"/>
      <c r="F4296" s="597">
        <f t="shared" ref="F4296:G4296" si="3344">E4296*1.1</f>
        <v>0</v>
      </c>
      <c r="G4296" s="597">
        <f t="shared" si="3344"/>
        <v>0</v>
      </c>
    </row>
    <row r="4297" spans="1:8" s="301" customFormat="1" outlineLevel="3">
      <c r="A4297" s="320"/>
      <c r="B4297" s="320"/>
      <c r="C4297" s="441">
        <v>3110200</v>
      </c>
      <c r="D4297" s="708" t="s">
        <v>185</v>
      </c>
      <c r="E4297" s="503">
        <f>SUM(E4298:E4299)</f>
        <v>6650000</v>
      </c>
      <c r="F4297" s="597">
        <f t="shared" ref="F4297:G4297" si="3345">E4297*1.1</f>
        <v>7315000.0000000009</v>
      </c>
      <c r="G4297" s="597">
        <f t="shared" si="3345"/>
        <v>8046500.0000000019</v>
      </c>
      <c r="H4297" s="132"/>
    </row>
    <row r="4298" spans="1:8" s="301" customFormat="1" outlineLevel="3">
      <c r="A4298" s="320"/>
      <c r="B4298" s="320"/>
      <c r="C4298" s="437">
        <v>3110202</v>
      </c>
      <c r="D4298" s="494" t="s">
        <v>1150</v>
      </c>
      <c r="E4298" s="501">
        <v>2000000</v>
      </c>
      <c r="F4298" s="597">
        <f t="shared" ref="F4298:G4298" si="3346">E4298*1.1</f>
        <v>2200000</v>
      </c>
      <c r="G4298" s="597">
        <f t="shared" si="3346"/>
        <v>2420000</v>
      </c>
      <c r="H4298" s="132"/>
    </row>
    <row r="4299" spans="1:8" s="301" customFormat="1" ht="30" outlineLevel="3">
      <c r="A4299" s="320"/>
      <c r="B4299" s="320"/>
      <c r="C4299" s="437">
        <v>3110299</v>
      </c>
      <c r="D4299" s="494" t="s">
        <v>1151</v>
      </c>
      <c r="E4299" s="501">
        <v>4650000</v>
      </c>
      <c r="F4299" s="597">
        <f t="shared" ref="F4299:G4299" si="3347">E4299*1.1</f>
        <v>5115000</v>
      </c>
      <c r="G4299" s="597">
        <f t="shared" si="3347"/>
        <v>5626500</v>
      </c>
      <c r="H4299" s="132"/>
    </row>
    <row r="4300" spans="1:8" s="301" customFormat="1" outlineLevel="3">
      <c r="A4300" s="320"/>
      <c r="B4300" s="320"/>
      <c r="C4300" s="443">
        <v>3111100</v>
      </c>
      <c r="D4300" s="492" t="s">
        <v>669</v>
      </c>
      <c r="E4300" s="499">
        <f>SUM(E4301)</f>
        <v>15000000</v>
      </c>
      <c r="F4300" s="597">
        <f t="shared" ref="F4300:G4300" si="3348">E4300*1.1</f>
        <v>16500000.000000002</v>
      </c>
      <c r="G4300" s="597">
        <f t="shared" si="3348"/>
        <v>18150000.000000004</v>
      </c>
      <c r="H4300" s="132"/>
    </row>
    <row r="4301" spans="1:8" s="301" customFormat="1" outlineLevel="3">
      <c r="A4301" s="320"/>
      <c r="B4301" s="320"/>
      <c r="C4301" s="437">
        <v>3111120</v>
      </c>
      <c r="D4301" s="494" t="s">
        <v>1152</v>
      </c>
      <c r="E4301" s="501">
        <v>15000000</v>
      </c>
      <c r="F4301" s="597">
        <f t="shared" ref="F4301:G4301" si="3349">E4301*1.1</f>
        <v>16500000.000000002</v>
      </c>
      <c r="G4301" s="597">
        <f t="shared" si="3349"/>
        <v>18150000.000000004</v>
      </c>
      <c r="H4301" s="132"/>
    </row>
    <row r="4302" spans="1:8" s="301" customFormat="1" ht="30" outlineLevel="3">
      <c r="A4302" s="320"/>
      <c r="B4302" s="320"/>
      <c r="C4302" s="443">
        <v>3111400</v>
      </c>
      <c r="D4302" s="492" t="s">
        <v>68</v>
      </c>
      <c r="E4302" s="499">
        <f>SUM(E4303)</f>
        <v>2000000</v>
      </c>
      <c r="F4302" s="597">
        <f t="shared" ref="F4302:G4302" si="3350">E4302*1.1</f>
        <v>2200000</v>
      </c>
      <c r="G4302" s="597">
        <f t="shared" si="3350"/>
        <v>2420000</v>
      </c>
      <c r="H4302" s="132"/>
    </row>
    <row r="4303" spans="1:8" s="301" customFormat="1" outlineLevel="3">
      <c r="A4303" s="320"/>
      <c r="B4303" s="320"/>
      <c r="C4303" s="437">
        <v>3111499</v>
      </c>
      <c r="D4303" s="382" t="s">
        <v>1153</v>
      </c>
      <c r="E4303" s="319">
        <v>2000000</v>
      </c>
      <c r="F4303" s="597">
        <f t="shared" ref="F4303:G4303" si="3351">E4303*1.1</f>
        <v>2200000</v>
      </c>
      <c r="G4303" s="597">
        <f t="shared" si="3351"/>
        <v>2420000</v>
      </c>
      <c r="H4303" s="132"/>
    </row>
    <row r="4304" spans="1:8" s="301" customFormat="1" outlineLevel="3">
      <c r="A4304" s="328"/>
      <c r="B4304" s="328"/>
      <c r="C4304" s="443">
        <v>3110500</v>
      </c>
      <c r="D4304" s="492" t="s">
        <v>666</v>
      </c>
      <c r="E4304" s="499">
        <f>SUM(E4305:E4305)</f>
        <v>1600000</v>
      </c>
      <c r="F4304" s="597">
        <f t="shared" ref="F4304:G4304" si="3352">E4304*1.1</f>
        <v>1760000.0000000002</v>
      </c>
      <c r="G4304" s="597">
        <f t="shared" si="3352"/>
        <v>1936000.0000000005</v>
      </c>
      <c r="H4304" s="132"/>
    </row>
    <row r="4305" spans="1:8" outlineLevel="3">
      <c r="A4305" s="324"/>
      <c r="B4305" s="324"/>
      <c r="C4305" s="437">
        <v>3110599</v>
      </c>
      <c r="D4305" s="494" t="s">
        <v>1154</v>
      </c>
      <c r="E4305" s="501">
        <v>1600000</v>
      </c>
      <c r="F4305" s="597">
        <f t="shared" ref="F4305:G4305" si="3353">E4305*1.1</f>
        <v>1760000.0000000002</v>
      </c>
      <c r="G4305" s="597">
        <f t="shared" si="3353"/>
        <v>1936000.0000000005</v>
      </c>
    </row>
    <row r="4306" spans="1:8" s="293" customFormat="1" outlineLevel="2">
      <c r="A4306" s="505"/>
      <c r="B4306" s="505"/>
      <c r="C4306" s="355"/>
      <c r="D4306" s="672" t="s">
        <v>348</v>
      </c>
      <c r="E4306" s="500">
        <f>E4297+E4304+E4302+E4300</f>
        <v>25250000</v>
      </c>
      <c r="F4306" s="597">
        <f t="shared" ref="F4306:G4306" si="3354">E4306*1.1</f>
        <v>27775000.000000004</v>
      </c>
      <c r="G4306" s="597">
        <f t="shared" si="3354"/>
        <v>30552500.000000007</v>
      </c>
      <c r="H4306" s="132"/>
    </row>
    <row r="4307" spans="1:8" s="293" customFormat="1" outlineLevel="1">
      <c r="A4307" s="505"/>
      <c r="B4307" s="505"/>
      <c r="C4307" s="355"/>
      <c r="D4307" s="490" t="s">
        <v>1116</v>
      </c>
      <c r="E4307" s="500">
        <f>E4294+E4306</f>
        <v>30029000</v>
      </c>
      <c r="F4307" s="597">
        <f t="shared" ref="F4307:G4307" si="3355">E4307*1.1</f>
        <v>33031900.000000004</v>
      </c>
      <c r="G4307" s="597">
        <f t="shared" si="3355"/>
        <v>36335090.000000007</v>
      </c>
      <c r="H4307" s="132"/>
    </row>
    <row r="4308" spans="1:8" s="293" customFormat="1" outlineLevel="1">
      <c r="A4308" s="505"/>
      <c r="B4308" s="505"/>
      <c r="C4308" s="355"/>
      <c r="D4308" s="487"/>
      <c r="E4308" s="500"/>
      <c r="F4308" s="597">
        <f t="shared" ref="F4308:G4308" si="3356">E4308*1.1</f>
        <v>0</v>
      </c>
      <c r="G4308" s="597">
        <f t="shared" si="3356"/>
        <v>0</v>
      </c>
      <c r="H4308" s="132"/>
    </row>
    <row r="4309" spans="1:8" s="293" customFormat="1" outlineLevel="1">
      <c r="A4309" s="668" t="s">
        <v>576</v>
      </c>
      <c r="B4309" s="668" t="s">
        <v>98</v>
      </c>
      <c r="C4309" s="355"/>
      <c r="D4309" s="490" t="s">
        <v>1155</v>
      </c>
      <c r="E4309" s="488"/>
      <c r="F4309" s="597">
        <f t="shared" ref="F4309:G4309" si="3357">E4309*1.1</f>
        <v>0</v>
      </c>
      <c r="G4309" s="597">
        <f t="shared" si="3357"/>
        <v>0</v>
      </c>
      <c r="H4309" s="132"/>
    </row>
    <row r="4310" spans="1:8" ht="30" outlineLevel="1">
      <c r="A4310" s="505"/>
      <c r="B4310" s="505"/>
      <c r="C4310" s="355"/>
      <c r="D4310" s="490" t="s">
        <v>1156</v>
      </c>
      <c r="E4310" s="488"/>
      <c r="F4310" s="597">
        <f t="shared" ref="F4310:G4310" si="3358">E4310*1.1</f>
        <v>0</v>
      </c>
      <c r="G4310" s="597">
        <f t="shared" si="3358"/>
        <v>0</v>
      </c>
    </row>
    <row r="4311" spans="1:8" s="293" customFormat="1" outlineLevel="3">
      <c r="A4311" s="505"/>
      <c r="B4311" s="505"/>
      <c r="C4311" s="484">
        <v>2210200</v>
      </c>
      <c r="D4311" s="670" t="s">
        <v>19</v>
      </c>
      <c r="E4311" s="503">
        <f>E4312</f>
        <v>90000</v>
      </c>
      <c r="F4311" s="597">
        <f t="shared" ref="F4311:G4311" si="3359">E4311*1.1</f>
        <v>99000.000000000015</v>
      </c>
      <c r="G4311" s="597">
        <f t="shared" si="3359"/>
        <v>108900.00000000003</v>
      </c>
      <c r="H4311" s="132"/>
    </row>
    <row r="4312" spans="1:8" s="293" customFormat="1" outlineLevel="3">
      <c r="A4312" s="505"/>
      <c r="B4312" s="505"/>
      <c r="C4312" s="355">
        <v>2210201</v>
      </c>
      <c r="D4312" s="671" t="s">
        <v>158</v>
      </c>
      <c r="E4312" s="669">
        <v>90000</v>
      </c>
      <c r="F4312" s="597">
        <f t="shared" ref="F4312:G4312" si="3360">E4312*1.1</f>
        <v>99000.000000000015</v>
      </c>
      <c r="G4312" s="597">
        <f t="shared" si="3360"/>
        <v>108900.00000000003</v>
      </c>
      <c r="H4312" s="132"/>
    </row>
    <row r="4313" spans="1:8" s="293" customFormat="1" ht="30" outlineLevel="3">
      <c r="A4313" s="505"/>
      <c r="B4313" s="505"/>
      <c r="C4313" s="484">
        <v>2210300</v>
      </c>
      <c r="D4313" s="670" t="s">
        <v>23</v>
      </c>
      <c r="E4313" s="503">
        <f>E4314+E4315+E4316</f>
        <v>1118000</v>
      </c>
      <c r="F4313" s="597">
        <f t="shared" ref="F4313:G4313" si="3361">E4313*1.1</f>
        <v>1229800</v>
      </c>
      <c r="G4313" s="597">
        <f t="shared" si="3361"/>
        <v>1352780</v>
      </c>
      <c r="H4313" s="132"/>
    </row>
    <row r="4314" spans="1:8" s="293" customFormat="1" outlineLevel="3">
      <c r="A4314" s="505"/>
      <c r="B4314" s="505"/>
      <c r="C4314" s="355">
        <v>2210301</v>
      </c>
      <c r="D4314" s="671" t="s">
        <v>24</v>
      </c>
      <c r="E4314" s="669">
        <v>348000</v>
      </c>
      <c r="F4314" s="597">
        <f t="shared" ref="F4314:G4314" si="3362">E4314*1.1</f>
        <v>382800.00000000006</v>
      </c>
      <c r="G4314" s="597">
        <f t="shared" si="3362"/>
        <v>421080.00000000012</v>
      </c>
      <c r="H4314" s="132"/>
    </row>
    <row r="4315" spans="1:8" s="293" customFormat="1" outlineLevel="3">
      <c r="A4315" s="505"/>
      <c r="B4315" s="505"/>
      <c r="C4315" s="355">
        <v>2210302</v>
      </c>
      <c r="D4315" s="671" t="s">
        <v>25</v>
      </c>
      <c r="E4315" s="669">
        <v>290000</v>
      </c>
      <c r="F4315" s="597">
        <f t="shared" ref="F4315:G4315" si="3363">E4315*1.1</f>
        <v>319000</v>
      </c>
      <c r="G4315" s="597">
        <f t="shared" si="3363"/>
        <v>350900</v>
      </c>
      <c r="H4315" s="132"/>
    </row>
    <row r="4316" spans="1:8" s="293" customFormat="1" ht="30" outlineLevel="3">
      <c r="A4316" s="505"/>
      <c r="B4316" s="505"/>
      <c r="C4316" s="355">
        <v>2210303</v>
      </c>
      <c r="D4316" s="671" t="s">
        <v>1157</v>
      </c>
      <c r="E4316" s="669">
        <v>480000</v>
      </c>
      <c r="F4316" s="597">
        <f t="shared" ref="F4316:G4316" si="3364">E4316*1.1</f>
        <v>528000</v>
      </c>
      <c r="G4316" s="597">
        <f t="shared" si="3364"/>
        <v>580800</v>
      </c>
      <c r="H4316" s="132"/>
    </row>
    <row r="4317" spans="1:8" s="293" customFormat="1" outlineLevel="3">
      <c r="A4317" s="505"/>
      <c r="B4317" s="505"/>
      <c r="C4317" s="484">
        <v>2210700</v>
      </c>
      <c r="D4317" s="670" t="s">
        <v>34</v>
      </c>
      <c r="E4317" s="503">
        <f>E4318</f>
        <v>200000</v>
      </c>
      <c r="F4317" s="597">
        <f t="shared" ref="F4317:G4317" si="3365">E4317*1.1</f>
        <v>220000.00000000003</v>
      </c>
      <c r="G4317" s="597">
        <f t="shared" si="3365"/>
        <v>242000.00000000006</v>
      </c>
      <c r="H4317" s="132"/>
    </row>
    <row r="4318" spans="1:8" s="293" customFormat="1" ht="30" outlineLevel="3">
      <c r="A4318" s="505"/>
      <c r="B4318" s="505"/>
      <c r="C4318" s="355">
        <v>2210799</v>
      </c>
      <c r="D4318" s="671" t="s">
        <v>1158</v>
      </c>
      <c r="E4318" s="669">
        <v>200000</v>
      </c>
      <c r="F4318" s="597">
        <f t="shared" ref="F4318:G4318" si="3366">E4318*1.1</f>
        <v>220000.00000000003</v>
      </c>
      <c r="G4318" s="597">
        <f t="shared" si="3366"/>
        <v>242000.00000000006</v>
      </c>
      <c r="H4318" s="132"/>
    </row>
    <row r="4319" spans="1:8" s="293" customFormat="1" outlineLevel="3">
      <c r="A4319" s="505"/>
      <c r="B4319" s="505"/>
      <c r="C4319" s="484">
        <v>2211100</v>
      </c>
      <c r="D4319" s="670" t="s">
        <v>49</v>
      </c>
      <c r="E4319" s="503">
        <f>E4320</f>
        <v>350000</v>
      </c>
      <c r="F4319" s="597">
        <f t="shared" ref="F4319:G4319" si="3367">E4319*1.1</f>
        <v>385000.00000000006</v>
      </c>
      <c r="G4319" s="597">
        <f t="shared" si="3367"/>
        <v>423500.00000000012</v>
      </c>
      <c r="H4319" s="132"/>
    </row>
    <row r="4320" spans="1:8" s="293" customFormat="1" outlineLevel="3">
      <c r="A4320" s="505"/>
      <c r="B4320" s="505"/>
      <c r="C4320" s="355">
        <v>2211103</v>
      </c>
      <c r="D4320" s="671" t="s">
        <v>1159</v>
      </c>
      <c r="E4320" s="669">
        <v>350000</v>
      </c>
      <c r="F4320" s="597">
        <f t="shared" ref="F4320:G4320" si="3368">E4320*1.1</f>
        <v>385000.00000000006</v>
      </c>
      <c r="G4320" s="597">
        <f t="shared" si="3368"/>
        <v>423500.00000000012</v>
      </c>
      <c r="H4320" s="132"/>
    </row>
    <row r="4321" spans="1:8" s="293" customFormat="1" outlineLevel="3">
      <c r="A4321" s="505"/>
      <c r="B4321" s="505"/>
      <c r="C4321" s="484">
        <v>2211200</v>
      </c>
      <c r="D4321" s="670" t="s">
        <v>53</v>
      </c>
      <c r="E4321" s="503">
        <f>E4322</f>
        <v>1200000</v>
      </c>
      <c r="F4321" s="597">
        <f t="shared" ref="F4321:G4321" si="3369">E4321*1.1</f>
        <v>1320000</v>
      </c>
      <c r="G4321" s="597">
        <f t="shared" si="3369"/>
        <v>1452000.0000000002</v>
      </c>
      <c r="H4321" s="132"/>
    </row>
    <row r="4322" spans="1:8" outlineLevel="3">
      <c r="A4322" s="505"/>
      <c r="B4322" s="505"/>
      <c r="C4322" s="355">
        <v>2211201</v>
      </c>
      <c r="D4322" s="671" t="s">
        <v>133</v>
      </c>
      <c r="E4322" s="669">
        <v>1200000</v>
      </c>
      <c r="F4322" s="597">
        <f t="shared" ref="F4322:G4322" si="3370">E4322*1.1</f>
        <v>1320000</v>
      </c>
      <c r="G4322" s="597">
        <f t="shared" si="3370"/>
        <v>1452000.0000000002</v>
      </c>
    </row>
    <row r="4323" spans="1:8" s="293" customFormat="1" ht="30" outlineLevel="3">
      <c r="A4323" s="505"/>
      <c r="B4323" s="505"/>
      <c r="C4323" s="386" t="s">
        <v>293</v>
      </c>
      <c r="D4323" s="619" t="s">
        <v>61</v>
      </c>
      <c r="E4323" s="503">
        <f>SUM(E4324:E4325)</f>
        <v>1400000</v>
      </c>
      <c r="F4323" s="597">
        <f t="shared" ref="F4323:G4323" si="3371">E4323*1.1</f>
        <v>1540000.0000000002</v>
      </c>
      <c r="G4323" s="597">
        <f t="shared" si="3371"/>
        <v>1694000.0000000005</v>
      </c>
      <c r="H4323" s="132"/>
    </row>
    <row r="4324" spans="1:8" s="293" customFormat="1" outlineLevel="3">
      <c r="A4324" s="324"/>
      <c r="B4324" s="324"/>
      <c r="C4324" s="483">
        <v>2220101</v>
      </c>
      <c r="D4324" s="482" t="s">
        <v>441</v>
      </c>
      <c r="E4324" s="501">
        <v>400000</v>
      </c>
      <c r="F4324" s="597">
        <f t="shared" ref="F4324:G4324" si="3372">E4324*1.1</f>
        <v>440000.00000000006</v>
      </c>
      <c r="G4324" s="597">
        <f t="shared" si="3372"/>
        <v>484000.00000000012</v>
      </c>
      <c r="H4324" s="132"/>
    </row>
    <row r="4325" spans="1:8" s="293" customFormat="1" outlineLevel="3">
      <c r="A4325" s="505"/>
      <c r="B4325" s="505"/>
      <c r="C4325" s="355">
        <v>2220105</v>
      </c>
      <c r="D4325" s="671" t="s">
        <v>1160</v>
      </c>
      <c r="E4325" s="669">
        <v>1000000</v>
      </c>
      <c r="F4325" s="597">
        <f t="shared" ref="F4325:G4325" si="3373">E4325*1.1</f>
        <v>1100000</v>
      </c>
      <c r="G4325" s="597">
        <f t="shared" si="3373"/>
        <v>1210000</v>
      </c>
      <c r="H4325" s="132"/>
    </row>
    <row r="4326" spans="1:8" s="293" customFormat="1" outlineLevel="2">
      <c r="A4326" s="505"/>
      <c r="B4326" s="505"/>
      <c r="C4326" s="355"/>
      <c r="D4326" s="672" t="s">
        <v>183</v>
      </c>
      <c r="E4326" s="500">
        <f>E4311+E4313+E4317+E4319+E4321+E4323</f>
        <v>4358000</v>
      </c>
      <c r="F4326" s="597">
        <f t="shared" ref="F4326:G4326" si="3374">E4326*1.1</f>
        <v>4793800</v>
      </c>
      <c r="G4326" s="597">
        <f t="shared" si="3374"/>
        <v>5273180</v>
      </c>
      <c r="H4326" s="132"/>
    </row>
    <row r="4327" spans="1:8" outlineLevel="2">
      <c r="A4327" s="505"/>
      <c r="B4327" s="505"/>
      <c r="C4327" s="355"/>
      <c r="D4327" s="672"/>
      <c r="E4327" s="500"/>
      <c r="F4327" s="597">
        <f t="shared" ref="F4327:G4327" si="3375">E4327*1.1</f>
        <v>0</v>
      </c>
      <c r="G4327" s="597">
        <f t="shared" si="3375"/>
        <v>0</v>
      </c>
    </row>
    <row r="4328" spans="1:8" outlineLevel="2">
      <c r="A4328" s="505"/>
      <c r="B4328" s="505"/>
      <c r="C4328" s="355"/>
      <c r="D4328" s="490" t="s">
        <v>184</v>
      </c>
      <c r="E4328" s="500"/>
      <c r="F4328" s="597">
        <f t="shared" ref="F4328:G4328" si="3376">E4328*1.1</f>
        <v>0</v>
      </c>
      <c r="G4328" s="597">
        <f t="shared" si="3376"/>
        <v>0</v>
      </c>
    </row>
    <row r="4329" spans="1:8" s="301" customFormat="1" outlineLevel="3">
      <c r="A4329" s="324"/>
      <c r="B4329" s="324"/>
      <c r="C4329" s="443">
        <v>3111100</v>
      </c>
      <c r="D4329" s="492" t="s">
        <v>669</v>
      </c>
      <c r="E4329" s="499">
        <f>E4330</f>
        <v>16500000</v>
      </c>
      <c r="F4329" s="597">
        <f t="shared" ref="F4329:G4329" si="3377">E4329*1.1</f>
        <v>18150000</v>
      </c>
      <c r="G4329" s="597">
        <f t="shared" si="3377"/>
        <v>19965000</v>
      </c>
      <c r="H4329" s="132"/>
    </row>
    <row r="4330" spans="1:8" outlineLevel="3">
      <c r="A4330" s="328"/>
      <c r="B4330" s="328"/>
      <c r="C4330" s="437">
        <v>3111120</v>
      </c>
      <c r="D4330" s="671" t="s">
        <v>1161</v>
      </c>
      <c r="E4330" s="501">
        <v>16500000</v>
      </c>
      <c r="F4330" s="597">
        <f t="shared" ref="F4330:G4330" si="3378">E4330*1.1</f>
        <v>18150000</v>
      </c>
      <c r="G4330" s="597">
        <f t="shared" si="3378"/>
        <v>19965000</v>
      </c>
    </row>
    <row r="4331" spans="1:8" outlineLevel="3">
      <c r="A4331" s="328"/>
      <c r="B4331" s="328"/>
      <c r="C4331" s="484">
        <v>2211000</v>
      </c>
      <c r="D4331" s="502" t="s">
        <v>173</v>
      </c>
      <c r="E4331" s="499">
        <f>SUM(E4332:E4333)</f>
        <v>3700000</v>
      </c>
      <c r="F4331" s="597">
        <f t="shared" ref="F4331:G4331" si="3379">E4331*1.1</f>
        <v>4070000.0000000005</v>
      </c>
      <c r="G4331" s="597">
        <f t="shared" si="3379"/>
        <v>4477000.0000000009</v>
      </c>
    </row>
    <row r="4332" spans="1:8" outlineLevel="3">
      <c r="A4332" s="324"/>
      <c r="B4332" s="324"/>
      <c r="C4332" s="483">
        <v>2211006</v>
      </c>
      <c r="D4332" s="494" t="s">
        <v>1162</v>
      </c>
      <c r="E4332" s="501">
        <v>1900000</v>
      </c>
      <c r="F4332" s="597">
        <f t="shared" ref="F4332:G4332" si="3380">E4332*1.1</f>
        <v>2090000.0000000002</v>
      </c>
      <c r="G4332" s="597">
        <f t="shared" si="3380"/>
        <v>2299000.0000000005</v>
      </c>
    </row>
    <row r="4333" spans="1:8" outlineLevel="3">
      <c r="A4333" s="324"/>
      <c r="B4333" s="324"/>
      <c r="C4333" s="483">
        <v>2211029</v>
      </c>
      <c r="D4333" s="505" t="s">
        <v>1163</v>
      </c>
      <c r="E4333" s="501">
        <v>1800000</v>
      </c>
      <c r="F4333" s="597">
        <f t="shared" ref="F4333:G4333" si="3381">E4333*1.1</f>
        <v>1980000.0000000002</v>
      </c>
      <c r="G4333" s="597">
        <f t="shared" si="3381"/>
        <v>2178000.0000000005</v>
      </c>
    </row>
    <row r="4334" spans="1:8" outlineLevel="3">
      <c r="A4334" s="324"/>
      <c r="B4334" s="324"/>
      <c r="C4334" s="484">
        <v>2630200</v>
      </c>
      <c r="D4334" s="320" t="s">
        <v>744</v>
      </c>
      <c r="E4334" s="503">
        <f>SUM(E4335)</f>
        <v>28464416</v>
      </c>
      <c r="F4334" s="597">
        <f t="shared" ref="F4334:G4334" si="3382">E4334*1.1</f>
        <v>31310857.600000001</v>
      </c>
      <c r="G4334" s="597">
        <f t="shared" si="3382"/>
        <v>34441943.360000007</v>
      </c>
    </row>
    <row r="4335" spans="1:8" s="293" customFormat="1" ht="30" outlineLevel="3">
      <c r="A4335" s="324"/>
      <c r="B4335" s="324"/>
      <c r="C4335" s="437">
        <v>2630201</v>
      </c>
      <c r="D4335" s="494" t="s">
        <v>1164</v>
      </c>
      <c r="E4335" s="675">
        <v>28464416</v>
      </c>
      <c r="F4335" s="597">
        <f t="shared" ref="F4335:G4335" si="3383">E4335*1.1</f>
        <v>31310857.600000001</v>
      </c>
      <c r="G4335" s="597">
        <f t="shared" si="3383"/>
        <v>34441943.360000007</v>
      </c>
      <c r="H4335" s="132"/>
    </row>
    <row r="4336" spans="1:8" s="293" customFormat="1" outlineLevel="2">
      <c r="A4336" s="505"/>
      <c r="B4336" s="505"/>
      <c r="C4336" s="355"/>
      <c r="D4336" s="672" t="s">
        <v>348</v>
      </c>
      <c r="E4336" s="500">
        <f>E4329+E4331+E4334</f>
        <v>48664416</v>
      </c>
      <c r="F4336" s="597">
        <f t="shared" ref="F4336:G4336" si="3384">E4336*1.1</f>
        <v>53530857.600000001</v>
      </c>
      <c r="G4336" s="597">
        <f t="shared" si="3384"/>
        <v>58883943.360000007</v>
      </c>
      <c r="H4336" s="132"/>
    </row>
    <row r="4337" spans="1:8" s="293" customFormat="1" outlineLevel="1">
      <c r="A4337" s="505"/>
      <c r="B4337" s="505"/>
      <c r="C4337" s="355"/>
      <c r="D4337" s="490" t="s">
        <v>1116</v>
      </c>
      <c r="E4337" s="500">
        <f>E4326+E4336</f>
        <v>53022416</v>
      </c>
      <c r="F4337" s="597">
        <f t="shared" ref="F4337:G4337" si="3385">E4337*1.1</f>
        <v>58324657.600000001</v>
      </c>
      <c r="G4337" s="597">
        <f t="shared" si="3385"/>
        <v>64157123.360000007</v>
      </c>
      <c r="H4337" s="132"/>
    </row>
    <row r="4338" spans="1:8" s="293" customFormat="1">
      <c r="A4338" s="505"/>
      <c r="B4338" s="505"/>
      <c r="C4338" s="438"/>
      <c r="D4338" s="317" t="s">
        <v>101</v>
      </c>
      <c r="E4338" s="500">
        <f>E4185+E4222+E4252+E4294+E4326</f>
        <v>85780354</v>
      </c>
      <c r="F4338" s="500">
        <f t="shared" ref="F4338:G4338" si="3386">F4185+F4222+F4252+F4294+F4326</f>
        <v>94358389.400000006</v>
      </c>
      <c r="G4338" s="500">
        <f t="shared" si="3386"/>
        <v>103794228.34000002</v>
      </c>
      <c r="H4338" s="132"/>
    </row>
    <row r="4339" spans="1:8">
      <c r="A4339" s="505"/>
      <c r="B4339" s="505"/>
      <c r="C4339" s="438"/>
      <c r="D4339" s="317" t="s">
        <v>201</v>
      </c>
      <c r="E4339" s="500">
        <f>E4190+E4232+E4267+E4306+E4336</f>
        <v>128214416</v>
      </c>
      <c r="F4339" s="500">
        <f t="shared" ref="F4339:G4339" si="3387">F4190+F4232+F4267+F4306+F4336</f>
        <v>141035857.60000002</v>
      </c>
      <c r="G4339" s="500">
        <f t="shared" si="3387"/>
        <v>155139443.36000004</v>
      </c>
    </row>
    <row r="4340" spans="1:8">
      <c r="A4340" s="505"/>
      <c r="B4340" s="505"/>
      <c r="C4340" s="804" t="s">
        <v>1165</v>
      </c>
      <c r="D4340" s="805"/>
      <c r="E4340" s="500">
        <f>E4338+E4339</f>
        <v>213994770</v>
      </c>
      <c r="F4340" s="500">
        <f t="shared" ref="F4340:G4340" si="3388">F4338+F4339</f>
        <v>235394247.00000003</v>
      </c>
      <c r="G4340" s="500">
        <f t="shared" si="3388"/>
        <v>258933671.70000005</v>
      </c>
    </row>
    <row r="4341" spans="1:8">
      <c r="A4341" s="324"/>
      <c r="B4341" s="324"/>
      <c r="C4341" s="324"/>
      <c r="D4341" s="324"/>
      <c r="E4341" s="495"/>
      <c r="F4341" s="597"/>
      <c r="G4341" s="597"/>
    </row>
    <row r="4342" spans="1:8">
      <c r="A4342" s="324"/>
      <c r="B4342" s="324"/>
      <c r="C4342" s="324"/>
      <c r="D4342" s="324"/>
      <c r="E4342" s="495"/>
      <c r="F4342" s="597"/>
      <c r="G4342" s="597"/>
    </row>
    <row r="4343" spans="1:8">
      <c r="A4343" s="324"/>
      <c r="B4343" s="324"/>
      <c r="C4343" s="324"/>
      <c r="D4343" s="324"/>
      <c r="E4343" s="495"/>
      <c r="F4343" s="597"/>
      <c r="G4343" s="597"/>
    </row>
    <row r="4344" spans="1:8">
      <c r="A4344" s="600"/>
      <c r="B4344" s="600"/>
      <c r="C4344" s="438" t="s">
        <v>1166</v>
      </c>
      <c r="D4344" s="490"/>
      <c r="E4344" s="496"/>
      <c r="F4344" s="597"/>
      <c r="G4344" s="597"/>
    </row>
    <row r="4345" spans="1:8" outlineLevel="1">
      <c r="A4345" s="624" t="s">
        <v>204</v>
      </c>
      <c r="B4345" s="624"/>
      <c r="C4345" s="438" t="s">
        <v>1167</v>
      </c>
      <c r="D4345" s="490"/>
      <c r="E4345" s="496">
        <v>0</v>
      </c>
      <c r="F4345" s="597">
        <f t="shared" ref="F4345:G4345" si="3389">E4345*1.1</f>
        <v>0</v>
      </c>
      <c r="G4345" s="597">
        <f t="shared" si="3389"/>
        <v>0</v>
      </c>
    </row>
    <row r="4346" spans="1:8" outlineLevel="1">
      <c r="A4346" s="624"/>
      <c r="B4346" s="624" t="s">
        <v>98</v>
      </c>
      <c r="C4346" s="438" t="s">
        <v>1168</v>
      </c>
      <c r="D4346" s="490"/>
      <c r="E4346" s="496">
        <v>0</v>
      </c>
      <c r="F4346" s="597">
        <f t="shared" ref="F4346:G4346" si="3390">E4346*1.1</f>
        <v>0</v>
      </c>
      <c r="G4346" s="597">
        <f t="shared" si="3390"/>
        <v>0</v>
      </c>
    </row>
    <row r="4347" spans="1:8" outlineLevel="3">
      <c r="A4347" s="600"/>
      <c r="B4347" s="600"/>
      <c r="C4347" s="443">
        <v>2110100</v>
      </c>
      <c r="D4347" s="700" t="s">
        <v>1169</v>
      </c>
      <c r="E4347" s="493">
        <f>E4348</f>
        <v>18813307</v>
      </c>
      <c r="F4347" s="597">
        <f t="shared" ref="F4347:G4347" si="3391">E4347*1.1</f>
        <v>20694637.700000003</v>
      </c>
      <c r="G4347" s="597">
        <f t="shared" si="3391"/>
        <v>22764101.470000006</v>
      </c>
    </row>
    <row r="4348" spans="1:8" outlineLevel="3">
      <c r="A4348" s="600"/>
      <c r="B4348" s="600"/>
      <c r="C4348" s="437">
        <v>2110199</v>
      </c>
      <c r="D4348" s="701" t="s">
        <v>13</v>
      </c>
      <c r="E4348" s="496">
        <v>18813307</v>
      </c>
      <c r="F4348" s="597">
        <f t="shared" ref="F4348:G4348" si="3392">E4348*1.1</f>
        <v>20694637.700000003</v>
      </c>
      <c r="G4348" s="597">
        <f t="shared" si="3392"/>
        <v>22764101.470000006</v>
      </c>
    </row>
    <row r="4349" spans="1:8" outlineLevel="3">
      <c r="A4349" s="600"/>
      <c r="B4349" s="600"/>
      <c r="C4349" s="443">
        <v>2110200</v>
      </c>
      <c r="D4349" s="700" t="s">
        <v>155</v>
      </c>
      <c r="E4349" s="493">
        <f>E4350</f>
        <v>13000000</v>
      </c>
      <c r="F4349" s="597">
        <f t="shared" ref="F4349:G4349" si="3393">E4349*1.1</f>
        <v>14300000.000000002</v>
      </c>
      <c r="G4349" s="597">
        <f t="shared" si="3393"/>
        <v>15730000.000000004</v>
      </c>
    </row>
    <row r="4350" spans="1:8" outlineLevel="3">
      <c r="A4350" s="600"/>
      <c r="B4350" s="600"/>
      <c r="C4350" s="437">
        <v>2110202</v>
      </c>
      <c r="D4350" s="701" t="s">
        <v>1170</v>
      </c>
      <c r="E4350" s="496">
        <v>13000000</v>
      </c>
      <c r="F4350" s="597">
        <f t="shared" ref="F4350:G4350" si="3394">E4350*1.1</f>
        <v>14300000.000000002</v>
      </c>
      <c r="G4350" s="597">
        <f t="shared" si="3394"/>
        <v>15730000.000000004</v>
      </c>
    </row>
    <row r="4351" spans="1:8" outlineLevel="3">
      <c r="A4351" s="600"/>
      <c r="B4351" s="600"/>
      <c r="C4351" s="443">
        <v>2110300</v>
      </c>
      <c r="D4351" s="463" t="s">
        <v>1171</v>
      </c>
      <c r="E4351" s="493">
        <f>E4352+E4353</f>
        <v>4555560</v>
      </c>
      <c r="F4351" s="597">
        <f t="shared" ref="F4351:G4351" si="3395">E4351*1.1</f>
        <v>5011116</v>
      </c>
      <c r="G4351" s="597">
        <f t="shared" si="3395"/>
        <v>5512227.6000000006</v>
      </c>
    </row>
    <row r="4352" spans="1:8" outlineLevel="3">
      <c r="A4352" s="600"/>
      <c r="B4352" s="600"/>
      <c r="C4352" s="437">
        <v>2110301</v>
      </c>
      <c r="D4352" s="618" t="s">
        <v>1172</v>
      </c>
      <c r="E4352" s="496">
        <v>3050460</v>
      </c>
      <c r="F4352" s="597">
        <f t="shared" ref="F4352:G4352" si="3396">E4352*1.1</f>
        <v>3355506.0000000005</v>
      </c>
      <c r="G4352" s="597">
        <f t="shared" si="3396"/>
        <v>3691056.600000001</v>
      </c>
    </row>
    <row r="4353" spans="1:7" outlineLevel="3">
      <c r="A4353" s="600"/>
      <c r="B4353" s="600"/>
      <c r="C4353" s="437">
        <v>2110314</v>
      </c>
      <c r="D4353" s="339" t="s">
        <v>1173</v>
      </c>
      <c r="E4353" s="496">
        <v>1505100</v>
      </c>
      <c r="F4353" s="597">
        <f t="shared" ref="F4353:G4353" si="3397">E4353*1.1</f>
        <v>1655610.0000000002</v>
      </c>
      <c r="G4353" s="597">
        <f t="shared" si="3397"/>
        <v>1821171.0000000005</v>
      </c>
    </row>
    <row r="4354" spans="1:7" ht="30" outlineLevel="3">
      <c r="A4354" s="600"/>
      <c r="B4354" s="600"/>
      <c r="C4354" s="443">
        <v>2120100</v>
      </c>
      <c r="D4354" s="700" t="s">
        <v>876</v>
      </c>
      <c r="E4354" s="493">
        <f>E4355+E4356</f>
        <v>2897020</v>
      </c>
      <c r="F4354" s="597">
        <f t="shared" ref="F4354:G4354" si="3398">E4354*1.1</f>
        <v>3186722.0000000005</v>
      </c>
      <c r="G4354" s="597">
        <f t="shared" si="3398"/>
        <v>3505394.2000000007</v>
      </c>
    </row>
    <row r="4355" spans="1:7" outlineLevel="3">
      <c r="A4355" s="600"/>
      <c r="B4355" s="600"/>
      <c r="C4355" s="437">
        <v>2120101</v>
      </c>
      <c r="D4355" s="494" t="s">
        <v>1174</v>
      </c>
      <c r="E4355" s="496">
        <v>1316855</v>
      </c>
      <c r="F4355" s="597">
        <f t="shared" ref="F4355:G4355" si="3399">E4355*1.1</f>
        <v>1448540.5000000002</v>
      </c>
      <c r="G4355" s="597">
        <f t="shared" si="3399"/>
        <v>1593394.5500000003</v>
      </c>
    </row>
    <row r="4356" spans="1:7" outlineLevel="3">
      <c r="A4356" s="600"/>
      <c r="B4356" s="600"/>
      <c r="C4356" s="437">
        <v>2120103</v>
      </c>
      <c r="D4356" s="494" t="s">
        <v>1175</v>
      </c>
      <c r="E4356" s="496">
        <v>1580165</v>
      </c>
      <c r="F4356" s="597">
        <f t="shared" ref="F4356:G4356" si="3400">E4356*1.1</f>
        <v>1738181.5000000002</v>
      </c>
      <c r="G4356" s="597">
        <f t="shared" si="3400"/>
        <v>1911999.6500000004</v>
      </c>
    </row>
    <row r="4357" spans="1:7" outlineLevel="3">
      <c r="A4357" s="600"/>
      <c r="B4357" s="600"/>
      <c r="C4357" s="443"/>
      <c r="D4357" s="492" t="s">
        <v>1176</v>
      </c>
      <c r="E4357" s="493">
        <f>E4347+E4349+E4351+E4354</f>
        <v>39265887</v>
      </c>
      <c r="F4357" s="597">
        <f t="shared" ref="F4357:G4357" si="3401">E4357*1.1</f>
        <v>43192475.700000003</v>
      </c>
      <c r="G4357" s="597">
        <f t="shared" si="3401"/>
        <v>47511723.270000011</v>
      </c>
    </row>
    <row r="4358" spans="1:7" outlineLevel="3">
      <c r="A4358" s="600"/>
      <c r="B4358" s="600"/>
      <c r="C4358" s="443">
        <v>2210100</v>
      </c>
      <c r="D4358" s="492" t="s">
        <v>16</v>
      </c>
      <c r="E4358" s="493">
        <f>E4359+E4360</f>
        <v>3350000</v>
      </c>
      <c r="F4358" s="597">
        <f t="shared" ref="F4358:G4358" si="3402">E4358*1.1</f>
        <v>3685000.0000000005</v>
      </c>
      <c r="G4358" s="597">
        <f t="shared" si="3402"/>
        <v>4053500.0000000009</v>
      </c>
    </row>
    <row r="4359" spans="1:7" outlineLevel="3">
      <c r="A4359" s="600"/>
      <c r="B4359" s="600"/>
      <c r="C4359" s="437">
        <v>2210101</v>
      </c>
      <c r="D4359" s="494" t="s">
        <v>17</v>
      </c>
      <c r="E4359" s="496">
        <v>3000000</v>
      </c>
      <c r="F4359" s="597">
        <f t="shared" ref="F4359:G4359" si="3403">E4359*1.1</f>
        <v>3300000.0000000005</v>
      </c>
      <c r="G4359" s="597">
        <f t="shared" si="3403"/>
        <v>3630000.0000000009</v>
      </c>
    </row>
    <row r="4360" spans="1:7" outlineLevel="3">
      <c r="A4360" s="600"/>
      <c r="B4360" s="600"/>
      <c r="C4360" s="437">
        <v>2210102</v>
      </c>
      <c r="D4360" s="494" t="s">
        <v>18</v>
      </c>
      <c r="E4360" s="496">
        <v>350000</v>
      </c>
      <c r="F4360" s="597">
        <f t="shared" ref="F4360:G4360" si="3404">E4360*1.1</f>
        <v>385000.00000000006</v>
      </c>
      <c r="G4360" s="597">
        <f t="shared" si="3404"/>
        <v>423500.00000000012</v>
      </c>
    </row>
    <row r="4361" spans="1:7" outlineLevel="3">
      <c r="A4361" s="600"/>
      <c r="B4361" s="600"/>
      <c r="C4361" s="443">
        <v>2210200</v>
      </c>
      <c r="D4361" s="492" t="s">
        <v>19</v>
      </c>
      <c r="E4361" s="493">
        <f>E4362+E4363+E4364</f>
        <v>276000</v>
      </c>
      <c r="F4361" s="597">
        <f t="shared" ref="F4361:G4361" si="3405">E4361*1.1</f>
        <v>303600</v>
      </c>
      <c r="G4361" s="597">
        <f t="shared" si="3405"/>
        <v>333960</v>
      </c>
    </row>
    <row r="4362" spans="1:7" outlineLevel="3">
      <c r="A4362" s="600"/>
      <c r="B4362" s="600"/>
      <c r="C4362" s="437">
        <v>2210201</v>
      </c>
      <c r="D4362" s="494" t="s">
        <v>1177</v>
      </c>
      <c r="E4362" s="496">
        <v>200000</v>
      </c>
      <c r="F4362" s="597">
        <f t="shared" ref="F4362:G4362" si="3406">E4362*1.1</f>
        <v>220000.00000000003</v>
      </c>
      <c r="G4362" s="597">
        <f t="shared" si="3406"/>
        <v>242000.00000000006</v>
      </c>
    </row>
    <row r="4363" spans="1:7" outlineLevel="3">
      <c r="A4363" s="600"/>
      <c r="B4363" s="600"/>
      <c r="C4363" s="437">
        <v>2210202</v>
      </c>
      <c r="D4363" s="494" t="s">
        <v>21</v>
      </c>
      <c r="E4363" s="496">
        <v>58000</v>
      </c>
      <c r="F4363" s="597">
        <f t="shared" ref="F4363:G4363" si="3407">E4363*1.1</f>
        <v>63800.000000000007</v>
      </c>
      <c r="G4363" s="597">
        <f t="shared" si="3407"/>
        <v>70180.000000000015</v>
      </c>
    </row>
    <row r="4364" spans="1:7" outlineLevel="3">
      <c r="A4364" s="600"/>
      <c r="B4364" s="600"/>
      <c r="C4364" s="437">
        <v>2210203</v>
      </c>
      <c r="D4364" s="494" t="s">
        <v>22</v>
      </c>
      <c r="E4364" s="496">
        <v>18000</v>
      </c>
      <c r="F4364" s="597">
        <f t="shared" ref="F4364:G4364" si="3408">E4364*1.1</f>
        <v>19800</v>
      </c>
      <c r="G4364" s="597">
        <f t="shared" si="3408"/>
        <v>21780</v>
      </c>
    </row>
    <row r="4365" spans="1:7" outlineLevel="3">
      <c r="A4365" s="600"/>
      <c r="B4365" s="600"/>
      <c r="C4365" s="443">
        <v>2210300</v>
      </c>
      <c r="D4365" s="492" t="s">
        <v>1178</v>
      </c>
      <c r="E4365" s="493">
        <f>E4366+E4367+E4368</f>
        <v>820000</v>
      </c>
      <c r="F4365" s="597">
        <f t="shared" ref="F4365:G4365" si="3409">E4365*1.1</f>
        <v>902000.00000000012</v>
      </c>
      <c r="G4365" s="597">
        <f t="shared" si="3409"/>
        <v>992200.00000000023</v>
      </c>
    </row>
    <row r="4366" spans="1:7" outlineLevel="3">
      <c r="A4366" s="600"/>
      <c r="B4366" s="600"/>
      <c r="C4366" s="437">
        <v>2210301</v>
      </c>
      <c r="D4366" s="494" t="s">
        <v>208</v>
      </c>
      <c r="E4366" s="496">
        <v>320000</v>
      </c>
      <c r="F4366" s="597">
        <f t="shared" ref="F4366:G4366" si="3410">E4366*1.1</f>
        <v>352000</v>
      </c>
      <c r="G4366" s="597">
        <f t="shared" si="3410"/>
        <v>387200.00000000006</v>
      </c>
    </row>
    <row r="4367" spans="1:7" outlineLevel="3">
      <c r="A4367" s="600"/>
      <c r="B4367" s="600"/>
      <c r="C4367" s="437">
        <v>2210302</v>
      </c>
      <c r="D4367" s="494" t="s">
        <v>25</v>
      </c>
      <c r="E4367" s="496">
        <v>250000</v>
      </c>
      <c r="F4367" s="597">
        <f t="shared" ref="F4367:G4367" si="3411">E4367*1.1</f>
        <v>275000</v>
      </c>
      <c r="G4367" s="597">
        <f t="shared" si="3411"/>
        <v>302500</v>
      </c>
    </row>
    <row r="4368" spans="1:7" outlineLevel="3">
      <c r="A4368" s="600"/>
      <c r="B4368" s="600"/>
      <c r="C4368" s="437">
        <v>2210303</v>
      </c>
      <c r="D4368" s="494" t="s">
        <v>259</v>
      </c>
      <c r="E4368" s="496">
        <v>250000</v>
      </c>
      <c r="F4368" s="597">
        <f t="shared" ref="F4368:G4368" si="3412">E4368*1.1</f>
        <v>275000</v>
      </c>
      <c r="G4368" s="597">
        <f t="shared" si="3412"/>
        <v>302500</v>
      </c>
    </row>
    <row r="4369" spans="1:8" s="301" customFormat="1" outlineLevel="3">
      <c r="A4369" s="600"/>
      <c r="B4369" s="600"/>
      <c r="C4369" s="443">
        <v>2210500</v>
      </c>
      <c r="D4369" s="492" t="s">
        <v>931</v>
      </c>
      <c r="E4369" s="493">
        <f>E4370+E4371+E4372+E4373</f>
        <v>410000</v>
      </c>
      <c r="F4369" s="597">
        <f t="shared" ref="F4369:G4369" si="3413">E4369*1.1</f>
        <v>451000.00000000006</v>
      </c>
      <c r="G4369" s="597">
        <f t="shared" si="3413"/>
        <v>496100.00000000012</v>
      </c>
      <c r="H4369" s="132"/>
    </row>
    <row r="4370" spans="1:8" outlineLevel="3">
      <c r="A4370" s="600"/>
      <c r="B4370" s="600"/>
      <c r="C4370" s="437">
        <v>2210502</v>
      </c>
      <c r="D4370" s="494" t="s">
        <v>162</v>
      </c>
      <c r="E4370" s="496">
        <v>100000</v>
      </c>
      <c r="F4370" s="597">
        <f t="shared" ref="F4370:G4370" si="3414">E4370*1.1</f>
        <v>110000.00000000001</v>
      </c>
      <c r="G4370" s="597">
        <f t="shared" si="3414"/>
        <v>121000.00000000003</v>
      </c>
    </row>
    <row r="4371" spans="1:8" outlineLevel="3">
      <c r="A4371" s="600"/>
      <c r="B4371" s="600"/>
      <c r="C4371" s="437">
        <v>2210503</v>
      </c>
      <c r="D4371" s="494" t="s">
        <v>31</v>
      </c>
      <c r="E4371" s="496">
        <v>10000</v>
      </c>
      <c r="F4371" s="597">
        <f t="shared" ref="F4371:G4371" si="3415">E4371*1.1</f>
        <v>11000</v>
      </c>
      <c r="G4371" s="597">
        <f t="shared" si="3415"/>
        <v>12100.000000000002</v>
      </c>
    </row>
    <row r="4372" spans="1:8" outlineLevel="3">
      <c r="A4372" s="600"/>
      <c r="B4372" s="600"/>
      <c r="C4372" s="437">
        <v>2210504</v>
      </c>
      <c r="D4372" s="494" t="s">
        <v>32</v>
      </c>
      <c r="E4372" s="496">
        <v>50000</v>
      </c>
      <c r="F4372" s="597">
        <f t="shared" ref="F4372:G4372" si="3416">E4372*1.1</f>
        <v>55000.000000000007</v>
      </c>
      <c r="G4372" s="597">
        <f t="shared" si="3416"/>
        <v>60500.000000000015</v>
      </c>
    </row>
    <row r="4373" spans="1:8" outlineLevel="3">
      <c r="A4373" s="600"/>
      <c r="B4373" s="600"/>
      <c r="C4373" s="437">
        <v>2210505</v>
      </c>
      <c r="D4373" s="494" t="s">
        <v>1179</v>
      </c>
      <c r="E4373" s="496">
        <v>250000</v>
      </c>
      <c r="F4373" s="597">
        <f t="shared" ref="F4373:G4373" si="3417">E4373*1.1</f>
        <v>275000</v>
      </c>
      <c r="G4373" s="597">
        <f t="shared" si="3417"/>
        <v>302500</v>
      </c>
    </row>
    <row r="4374" spans="1:8" s="301" customFormat="1" outlineLevel="3">
      <c r="A4374" s="600"/>
      <c r="B4374" s="600"/>
      <c r="C4374" s="443">
        <v>2210700</v>
      </c>
      <c r="D4374" s="492" t="s">
        <v>34</v>
      </c>
      <c r="E4374" s="493">
        <f>E4375+E4376+E4377</f>
        <v>573900</v>
      </c>
      <c r="F4374" s="597">
        <f t="shared" ref="F4374:G4374" si="3418">E4374*1.1</f>
        <v>631290</v>
      </c>
      <c r="G4374" s="597">
        <f t="shared" si="3418"/>
        <v>694419</v>
      </c>
      <c r="H4374" s="132"/>
    </row>
    <row r="4375" spans="1:8" outlineLevel="3">
      <c r="A4375" s="600"/>
      <c r="B4375" s="600"/>
      <c r="C4375" s="437">
        <v>2210701</v>
      </c>
      <c r="D4375" s="494" t="s">
        <v>35</v>
      </c>
      <c r="E4375" s="496">
        <v>136000</v>
      </c>
      <c r="F4375" s="597">
        <f t="shared" ref="F4375:G4375" si="3419">E4375*1.1</f>
        <v>149600</v>
      </c>
      <c r="G4375" s="597">
        <f t="shared" si="3419"/>
        <v>164560</v>
      </c>
    </row>
    <row r="4376" spans="1:8" outlineLevel="3">
      <c r="A4376" s="600"/>
      <c r="B4376" s="600"/>
      <c r="C4376" s="437">
        <v>2210710</v>
      </c>
      <c r="D4376" s="494" t="s">
        <v>1180</v>
      </c>
      <c r="E4376" s="496">
        <v>207900</v>
      </c>
      <c r="F4376" s="597">
        <f t="shared" ref="F4376:G4376" si="3420">E4376*1.1</f>
        <v>228690.00000000003</v>
      </c>
      <c r="G4376" s="597">
        <f t="shared" si="3420"/>
        <v>251559.00000000006</v>
      </c>
    </row>
    <row r="4377" spans="1:8" outlineLevel="3">
      <c r="A4377" s="600"/>
      <c r="B4377" s="600"/>
      <c r="C4377" s="437">
        <v>2210711</v>
      </c>
      <c r="D4377" s="494" t="s">
        <v>167</v>
      </c>
      <c r="E4377" s="496">
        <v>230000</v>
      </c>
      <c r="F4377" s="597">
        <f t="shared" ref="F4377:G4377" si="3421">E4377*1.1</f>
        <v>253000.00000000003</v>
      </c>
      <c r="G4377" s="597">
        <f t="shared" si="3421"/>
        <v>278300.00000000006</v>
      </c>
    </row>
    <row r="4378" spans="1:8" s="301" customFormat="1" outlineLevel="3">
      <c r="A4378" s="600"/>
      <c r="B4378" s="600"/>
      <c r="C4378" s="443">
        <v>2210800</v>
      </c>
      <c r="D4378" s="492" t="s">
        <v>41</v>
      </c>
      <c r="E4378" s="493">
        <f>E4379+E4380</f>
        <v>3650000</v>
      </c>
      <c r="F4378" s="597">
        <f t="shared" ref="F4378:G4378" si="3422">E4378*1.1</f>
        <v>4015000.0000000005</v>
      </c>
      <c r="G4378" s="597">
        <f t="shared" si="3422"/>
        <v>4416500.0000000009</v>
      </c>
      <c r="H4378" s="132"/>
    </row>
    <row r="4379" spans="1:8" outlineLevel="3">
      <c r="A4379" s="600"/>
      <c r="B4379" s="600"/>
      <c r="C4379" s="437">
        <v>2210801</v>
      </c>
      <c r="D4379" s="494" t="s">
        <v>1181</v>
      </c>
      <c r="E4379" s="496">
        <v>150000</v>
      </c>
      <c r="F4379" s="597">
        <f t="shared" ref="F4379:G4379" si="3423">E4379*1.1</f>
        <v>165000</v>
      </c>
      <c r="G4379" s="597">
        <f t="shared" si="3423"/>
        <v>181500.00000000003</v>
      </c>
    </row>
    <row r="4380" spans="1:8" ht="30" outlineLevel="3">
      <c r="A4380" s="600"/>
      <c r="B4380" s="600"/>
      <c r="C4380" s="437">
        <v>2210802</v>
      </c>
      <c r="D4380" s="494" t="s">
        <v>1182</v>
      </c>
      <c r="E4380" s="496">
        <v>3500000</v>
      </c>
      <c r="F4380" s="597">
        <f t="shared" ref="F4380:G4380" si="3424">E4380*1.1</f>
        <v>3850000.0000000005</v>
      </c>
      <c r="G4380" s="597">
        <f t="shared" si="3424"/>
        <v>4235000.0000000009</v>
      </c>
    </row>
    <row r="4381" spans="1:8" s="301" customFormat="1" outlineLevel="3">
      <c r="A4381" s="600"/>
      <c r="B4381" s="600"/>
      <c r="C4381" s="443">
        <v>2211000</v>
      </c>
      <c r="D4381" s="492" t="s">
        <v>173</v>
      </c>
      <c r="E4381" s="493">
        <f>E4382+E4383</f>
        <v>1000000</v>
      </c>
      <c r="F4381" s="597">
        <f t="shared" ref="F4381:G4381" si="3425">E4381*1.1</f>
        <v>1100000</v>
      </c>
      <c r="G4381" s="597">
        <f t="shared" si="3425"/>
        <v>1210000</v>
      </c>
      <c r="H4381" s="132"/>
    </row>
    <row r="4382" spans="1:8" outlineLevel="3">
      <c r="A4382" s="600"/>
      <c r="B4382" s="600"/>
      <c r="C4382" s="437">
        <v>2211006</v>
      </c>
      <c r="D4382" s="494" t="s">
        <v>1183</v>
      </c>
      <c r="E4382" s="496">
        <v>500000</v>
      </c>
      <c r="F4382" s="597">
        <f t="shared" ref="F4382:G4382" si="3426">E4382*1.1</f>
        <v>550000</v>
      </c>
      <c r="G4382" s="597">
        <f t="shared" si="3426"/>
        <v>605000</v>
      </c>
    </row>
    <row r="4383" spans="1:8" outlineLevel="3">
      <c r="A4383" s="600"/>
      <c r="B4383" s="600"/>
      <c r="C4383" s="437">
        <v>2211016</v>
      </c>
      <c r="D4383" s="494" t="s">
        <v>1184</v>
      </c>
      <c r="E4383" s="496">
        <v>500000</v>
      </c>
      <c r="F4383" s="597">
        <f t="shared" ref="F4383:G4383" si="3427">E4383*1.1</f>
        <v>550000</v>
      </c>
      <c r="G4383" s="597">
        <f t="shared" si="3427"/>
        <v>605000</v>
      </c>
    </row>
    <row r="4384" spans="1:8" s="301" customFormat="1" outlineLevel="3">
      <c r="A4384" s="600"/>
      <c r="B4384" s="600"/>
      <c r="C4384" s="443">
        <v>2211100</v>
      </c>
      <c r="D4384" s="492" t="s">
        <v>49</v>
      </c>
      <c r="E4384" s="493">
        <f>E4385+E4386+E4387</f>
        <v>1300000</v>
      </c>
      <c r="F4384" s="597">
        <f t="shared" ref="F4384:G4384" si="3428">E4384*1.1</f>
        <v>1430000</v>
      </c>
      <c r="G4384" s="597">
        <f t="shared" si="3428"/>
        <v>1573000.0000000002</v>
      </c>
      <c r="H4384" s="132"/>
    </row>
    <row r="4385" spans="1:8" outlineLevel="3">
      <c r="A4385" s="600"/>
      <c r="B4385" s="600"/>
      <c r="C4385" s="437">
        <v>2211101</v>
      </c>
      <c r="D4385" s="494" t="s">
        <v>1185</v>
      </c>
      <c r="E4385" s="496">
        <v>500000</v>
      </c>
      <c r="F4385" s="597">
        <f t="shared" ref="F4385:G4385" si="3429">E4385*1.1</f>
        <v>550000</v>
      </c>
      <c r="G4385" s="597">
        <f t="shared" si="3429"/>
        <v>605000</v>
      </c>
    </row>
    <row r="4386" spans="1:8" outlineLevel="3">
      <c r="A4386" s="600"/>
      <c r="B4386" s="600"/>
      <c r="C4386" s="437">
        <v>2211102</v>
      </c>
      <c r="D4386" s="494" t="s">
        <v>51</v>
      </c>
      <c r="E4386" s="496">
        <v>500000</v>
      </c>
      <c r="F4386" s="597">
        <f t="shared" ref="F4386:G4386" si="3430">E4386*1.1</f>
        <v>550000</v>
      </c>
      <c r="G4386" s="597">
        <f t="shared" si="3430"/>
        <v>605000</v>
      </c>
    </row>
    <row r="4387" spans="1:8" outlineLevel="3">
      <c r="A4387" s="600"/>
      <c r="B4387" s="600"/>
      <c r="C4387" s="437">
        <v>2211103</v>
      </c>
      <c r="D4387" s="494" t="s">
        <v>52</v>
      </c>
      <c r="E4387" s="496">
        <v>300000</v>
      </c>
      <c r="F4387" s="597">
        <f t="shared" ref="F4387:G4387" si="3431">E4387*1.1</f>
        <v>330000</v>
      </c>
      <c r="G4387" s="597">
        <f t="shared" si="3431"/>
        <v>363000.00000000006</v>
      </c>
    </row>
    <row r="4388" spans="1:8" s="301" customFormat="1" outlineLevel="3">
      <c r="A4388" s="600"/>
      <c r="B4388" s="600"/>
      <c r="C4388" s="443">
        <v>2211200</v>
      </c>
      <c r="D4388" s="492" t="s">
        <v>53</v>
      </c>
      <c r="E4388" s="493">
        <f>E4389</f>
        <v>1000000</v>
      </c>
      <c r="F4388" s="597">
        <f t="shared" ref="F4388:G4388" si="3432">E4388*1.1</f>
        <v>1100000</v>
      </c>
      <c r="G4388" s="597">
        <f t="shared" si="3432"/>
        <v>1210000</v>
      </c>
      <c r="H4388" s="132"/>
    </row>
    <row r="4389" spans="1:8" outlineLevel="3">
      <c r="A4389" s="600"/>
      <c r="B4389" s="600"/>
      <c r="C4389" s="437">
        <v>2211201</v>
      </c>
      <c r="D4389" s="494" t="s">
        <v>91</v>
      </c>
      <c r="E4389" s="496">
        <v>1000000</v>
      </c>
      <c r="F4389" s="597">
        <f t="shared" ref="F4389:G4389" si="3433">E4389*1.1</f>
        <v>1100000</v>
      </c>
      <c r="G4389" s="597">
        <f t="shared" si="3433"/>
        <v>1210000</v>
      </c>
    </row>
    <row r="4390" spans="1:8" s="301" customFormat="1" outlineLevel="3">
      <c r="A4390" s="600"/>
      <c r="B4390" s="600"/>
      <c r="C4390" s="443">
        <v>2211300</v>
      </c>
      <c r="D4390" s="492" t="s">
        <v>55</v>
      </c>
      <c r="E4390" s="493">
        <f>E4391+E4392</f>
        <v>260000</v>
      </c>
      <c r="F4390" s="597">
        <f t="shared" ref="F4390:G4390" si="3434">E4390*1.1</f>
        <v>286000</v>
      </c>
      <c r="G4390" s="597">
        <f t="shared" si="3434"/>
        <v>314600</v>
      </c>
      <c r="H4390" s="132"/>
    </row>
    <row r="4391" spans="1:8" s="301" customFormat="1" ht="30" outlineLevel="3">
      <c r="A4391" s="600"/>
      <c r="B4391" s="600"/>
      <c r="C4391" s="437">
        <v>2211306</v>
      </c>
      <c r="D4391" s="482" t="s">
        <v>57</v>
      </c>
      <c r="E4391" s="496">
        <v>60000</v>
      </c>
      <c r="F4391" s="597">
        <f t="shared" ref="F4391:G4391" si="3435">E4391*1.1</f>
        <v>66000</v>
      </c>
      <c r="G4391" s="597">
        <f t="shared" si="3435"/>
        <v>72600</v>
      </c>
      <c r="H4391" s="132"/>
    </row>
    <row r="4392" spans="1:8" outlineLevel="3">
      <c r="A4392" s="600"/>
      <c r="B4392" s="600"/>
      <c r="C4392" s="437">
        <v>2211308</v>
      </c>
      <c r="D4392" s="494" t="s">
        <v>1186</v>
      </c>
      <c r="E4392" s="496">
        <v>200000</v>
      </c>
      <c r="F4392" s="597">
        <f t="shared" ref="F4392:G4392" si="3436">E4392*1.1</f>
        <v>220000.00000000003</v>
      </c>
      <c r="G4392" s="597">
        <f t="shared" si="3436"/>
        <v>242000.00000000006</v>
      </c>
    </row>
    <row r="4393" spans="1:8" s="301" customFormat="1" outlineLevel="3">
      <c r="A4393" s="600"/>
      <c r="B4393" s="600"/>
      <c r="C4393" s="443">
        <v>2220200</v>
      </c>
      <c r="D4393" s="492" t="s">
        <v>179</v>
      </c>
      <c r="E4393" s="493">
        <f>E4394</f>
        <v>1000000</v>
      </c>
      <c r="F4393" s="597">
        <f t="shared" ref="F4393:G4393" si="3437">E4393*1.1</f>
        <v>1100000</v>
      </c>
      <c r="G4393" s="597">
        <f t="shared" si="3437"/>
        <v>1210000</v>
      </c>
      <c r="H4393" s="132"/>
    </row>
    <row r="4394" spans="1:8" outlineLevel="3">
      <c r="A4394" s="600"/>
      <c r="B4394" s="600"/>
      <c r="C4394" s="437">
        <v>2220201</v>
      </c>
      <c r="D4394" s="494" t="s">
        <v>476</v>
      </c>
      <c r="E4394" s="496">
        <v>1000000</v>
      </c>
      <c r="F4394" s="597">
        <f t="shared" ref="F4394:G4394" si="3438">E4394*1.1</f>
        <v>1100000</v>
      </c>
      <c r="G4394" s="597">
        <f t="shared" si="3438"/>
        <v>1210000</v>
      </c>
    </row>
    <row r="4395" spans="1:8" s="301" customFormat="1" outlineLevel="2">
      <c r="A4395" s="600"/>
      <c r="B4395" s="600"/>
      <c r="C4395" s="484"/>
      <c r="D4395" s="490" t="s">
        <v>1187</v>
      </c>
      <c r="E4395" s="626">
        <f>E4393+E4390+E4388+E4384+E4381+E4378+E4374+E4369+E4365+E4361+E4358</f>
        <v>13639900</v>
      </c>
      <c r="F4395" s="597">
        <f t="shared" ref="F4395:G4395" si="3439">E4395*1.1</f>
        <v>15003890.000000002</v>
      </c>
      <c r="G4395" s="597">
        <f t="shared" si="3439"/>
        <v>16504279.000000004</v>
      </c>
      <c r="H4395" s="132"/>
    </row>
    <row r="4396" spans="1:8" s="301" customFormat="1" outlineLevel="2" collapsed="1">
      <c r="A4396" s="600"/>
      <c r="B4396" s="600"/>
      <c r="C4396" s="443"/>
      <c r="D4396" s="490" t="s">
        <v>183</v>
      </c>
      <c r="E4396" s="626">
        <f>E4395+E4357</f>
        <v>52905787</v>
      </c>
      <c r="F4396" s="597">
        <f t="shared" ref="F4396:G4396" si="3440">E4396*1.1</f>
        <v>58196365.700000003</v>
      </c>
      <c r="G4396" s="597">
        <f t="shared" si="3440"/>
        <v>64016002.270000011</v>
      </c>
      <c r="H4396" s="132"/>
    </row>
    <row r="4397" spans="1:8" outlineLevel="2">
      <c r="A4397" s="600"/>
      <c r="B4397" s="600"/>
      <c r="C4397" s="437"/>
      <c r="D4397" s="492"/>
      <c r="E4397" s="496">
        <v>0</v>
      </c>
      <c r="F4397" s="597">
        <f t="shared" ref="F4397:G4397" si="3441">E4397*1.1</f>
        <v>0</v>
      </c>
      <c r="G4397" s="597">
        <f t="shared" si="3441"/>
        <v>0</v>
      </c>
    </row>
    <row r="4398" spans="1:8" outlineLevel="2">
      <c r="A4398" s="600"/>
      <c r="B4398" s="600"/>
      <c r="C4398" s="437"/>
      <c r="D4398" s="490" t="s">
        <v>184</v>
      </c>
      <c r="E4398" s="496">
        <v>0</v>
      </c>
      <c r="F4398" s="597">
        <f t="shared" ref="F4398:G4398" si="3442">E4398*1.1</f>
        <v>0</v>
      </c>
      <c r="G4398" s="597">
        <f t="shared" si="3442"/>
        <v>0</v>
      </c>
    </row>
    <row r="4399" spans="1:8" outlineLevel="3">
      <c r="A4399" s="600"/>
      <c r="B4399" s="600"/>
      <c r="C4399" s="443">
        <v>3111500</v>
      </c>
      <c r="D4399" s="700" t="s">
        <v>768</v>
      </c>
      <c r="E4399" s="493">
        <f>E4400</f>
        <v>3000000</v>
      </c>
      <c r="F4399" s="597">
        <f t="shared" ref="F4399:G4399" si="3443">E4399*1.1</f>
        <v>3300000.0000000005</v>
      </c>
      <c r="G4399" s="597">
        <f t="shared" si="3443"/>
        <v>3630000.0000000009</v>
      </c>
    </row>
    <row r="4400" spans="1:8" outlineLevel="3">
      <c r="A4400" s="600"/>
      <c r="B4400" s="600"/>
      <c r="C4400" s="437">
        <v>3111599</v>
      </c>
      <c r="D4400" s="494" t="s">
        <v>1188</v>
      </c>
      <c r="E4400" s="496">
        <v>3000000</v>
      </c>
      <c r="F4400" s="597">
        <f t="shared" ref="F4400:G4400" si="3444">E4400*1.1</f>
        <v>3300000.0000000005</v>
      </c>
      <c r="G4400" s="597">
        <f t="shared" si="3444"/>
        <v>3630000.0000000009</v>
      </c>
    </row>
    <row r="4401" spans="1:8" outlineLevel="2">
      <c r="A4401" s="600"/>
      <c r="B4401" s="600"/>
      <c r="C4401" s="443"/>
      <c r="D4401" s="490" t="s">
        <v>348</v>
      </c>
      <c r="E4401" s="626">
        <f>E4399</f>
        <v>3000000</v>
      </c>
      <c r="F4401" s="597">
        <f t="shared" ref="F4401:G4401" si="3445">E4401*1.1</f>
        <v>3300000.0000000005</v>
      </c>
      <c r="G4401" s="597">
        <f t="shared" si="3445"/>
        <v>3630000.0000000009</v>
      </c>
    </row>
    <row r="4402" spans="1:8" s="301" customFormat="1" outlineLevel="1">
      <c r="A4402" s="600"/>
      <c r="B4402" s="600"/>
      <c r="C4402" s="443"/>
      <c r="D4402" s="490" t="s">
        <v>924</v>
      </c>
      <c r="E4402" s="626">
        <f>E4401+E4396</f>
        <v>55905787</v>
      </c>
      <c r="F4402" s="597">
        <f t="shared" ref="F4402:G4402" si="3446">E4402*1.1</f>
        <v>61496365.700000003</v>
      </c>
      <c r="G4402" s="597">
        <f t="shared" si="3446"/>
        <v>67646002.270000011</v>
      </c>
      <c r="H4402" s="132"/>
    </row>
    <row r="4403" spans="1:8" outlineLevel="1">
      <c r="A4403" s="600"/>
      <c r="B4403" s="600"/>
      <c r="C4403" s="437"/>
      <c r="D4403" s="494"/>
      <c r="E4403" s="496">
        <v>0</v>
      </c>
      <c r="F4403" s="597">
        <f t="shared" ref="F4403:G4403" si="3447">E4403*1.1</f>
        <v>0</v>
      </c>
      <c r="G4403" s="597">
        <f t="shared" si="3447"/>
        <v>0</v>
      </c>
    </row>
    <row r="4404" spans="1:8" outlineLevel="1">
      <c r="A4404" s="624" t="s">
        <v>204</v>
      </c>
      <c r="B4404" s="624"/>
      <c r="C4404" s="438" t="s">
        <v>1189</v>
      </c>
      <c r="D4404" s="490"/>
      <c r="E4404" s="496">
        <v>0</v>
      </c>
      <c r="F4404" s="597">
        <f t="shared" ref="F4404:G4404" si="3448">E4404*1.1</f>
        <v>0</v>
      </c>
      <c r="G4404" s="597">
        <f t="shared" si="3448"/>
        <v>0</v>
      </c>
    </row>
    <row r="4405" spans="1:8" outlineLevel="1">
      <c r="A4405" s="624"/>
      <c r="B4405" s="624" t="s">
        <v>98</v>
      </c>
      <c r="C4405" s="438" t="s">
        <v>1190</v>
      </c>
      <c r="D4405" s="490"/>
      <c r="E4405" s="496">
        <v>0</v>
      </c>
      <c r="F4405" s="597">
        <f t="shared" ref="F4405:G4405" si="3449">E4405*1.1</f>
        <v>0</v>
      </c>
      <c r="G4405" s="597">
        <f t="shared" si="3449"/>
        <v>0</v>
      </c>
    </row>
    <row r="4406" spans="1:8" s="301" customFormat="1" outlineLevel="3">
      <c r="A4406" s="600"/>
      <c r="B4406" s="600"/>
      <c r="C4406" s="443">
        <v>2110100</v>
      </c>
      <c r="D4406" s="700" t="s">
        <v>1169</v>
      </c>
      <c r="E4406" s="493">
        <f>E4407</f>
        <v>3797373</v>
      </c>
      <c r="F4406" s="597">
        <f t="shared" ref="F4406:G4406" si="3450">E4406*1.1</f>
        <v>4177110.3000000003</v>
      </c>
      <c r="G4406" s="597">
        <f t="shared" si="3450"/>
        <v>4594821.330000001</v>
      </c>
      <c r="H4406" s="132"/>
    </row>
    <row r="4407" spans="1:8" outlineLevel="3">
      <c r="A4407" s="600"/>
      <c r="B4407" s="600"/>
      <c r="C4407" s="437">
        <v>2110199</v>
      </c>
      <c r="D4407" s="701" t="s">
        <v>13</v>
      </c>
      <c r="E4407" s="496">
        <v>3797373</v>
      </c>
      <c r="F4407" s="597">
        <f t="shared" ref="F4407:G4407" si="3451">E4407*1.1</f>
        <v>4177110.3000000003</v>
      </c>
      <c r="G4407" s="597">
        <f t="shared" si="3451"/>
        <v>4594821.330000001</v>
      </c>
    </row>
    <row r="4408" spans="1:8" s="301" customFormat="1" outlineLevel="3">
      <c r="A4408" s="600"/>
      <c r="B4408" s="600"/>
      <c r="C4408" s="443">
        <v>2110300</v>
      </c>
      <c r="D4408" s="463" t="s">
        <v>1171</v>
      </c>
      <c r="E4408" s="493">
        <f>E4409+E4410</f>
        <v>1461017</v>
      </c>
      <c r="F4408" s="597">
        <f t="shared" ref="F4408:G4408" si="3452">E4408*1.1</f>
        <v>1607118.7000000002</v>
      </c>
      <c r="G4408" s="597">
        <f t="shared" si="3452"/>
        <v>1767830.5700000003</v>
      </c>
      <c r="H4408" s="132"/>
    </row>
    <row r="4409" spans="1:8" outlineLevel="3">
      <c r="A4409" s="600"/>
      <c r="B4409" s="600"/>
      <c r="C4409" s="437">
        <v>2110301</v>
      </c>
      <c r="D4409" s="618" t="s">
        <v>1172</v>
      </c>
      <c r="E4409" s="496">
        <v>945677</v>
      </c>
      <c r="F4409" s="597">
        <f t="shared" ref="F4409:G4409" si="3453">E4409*1.1</f>
        <v>1040244.7000000001</v>
      </c>
      <c r="G4409" s="597">
        <f t="shared" si="3453"/>
        <v>1144269.1700000002</v>
      </c>
    </row>
    <row r="4410" spans="1:8" outlineLevel="3">
      <c r="A4410" s="600"/>
      <c r="B4410" s="600"/>
      <c r="C4410" s="437">
        <v>2110314</v>
      </c>
      <c r="D4410" s="339" t="s">
        <v>1173</v>
      </c>
      <c r="E4410" s="496">
        <v>515340</v>
      </c>
      <c r="F4410" s="597">
        <f t="shared" ref="F4410:G4410" si="3454">E4410*1.1</f>
        <v>566874</v>
      </c>
      <c r="G4410" s="597">
        <f t="shared" si="3454"/>
        <v>623561.4</v>
      </c>
    </row>
    <row r="4411" spans="1:8" s="301" customFormat="1" ht="30" outlineLevel="3">
      <c r="A4411" s="600"/>
      <c r="B4411" s="600"/>
      <c r="C4411" s="443">
        <v>2120100</v>
      </c>
      <c r="D4411" s="700" t="s">
        <v>876</v>
      </c>
      <c r="E4411" s="493">
        <f>E4412+E4413</f>
        <v>718550</v>
      </c>
      <c r="F4411" s="597">
        <f t="shared" ref="F4411:G4411" si="3455">E4411*1.1</f>
        <v>790405.00000000012</v>
      </c>
      <c r="G4411" s="597">
        <f t="shared" si="3455"/>
        <v>869445.50000000023</v>
      </c>
      <c r="H4411" s="132"/>
    </row>
    <row r="4412" spans="1:8" outlineLevel="3">
      <c r="A4412" s="600"/>
      <c r="B4412" s="600"/>
      <c r="C4412" s="437">
        <v>2120101</v>
      </c>
      <c r="D4412" s="494" t="s">
        <v>1174</v>
      </c>
      <c r="E4412" s="496">
        <v>282900</v>
      </c>
      <c r="F4412" s="597">
        <f t="shared" ref="F4412:G4412" si="3456">E4412*1.1</f>
        <v>311190</v>
      </c>
      <c r="G4412" s="597">
        <f t="shared" si="3456"/>
        <v>342309</v>
      </c>
    </row>
    <row r="4413" spans="1:8" outlineLevel="3">
      <c r="A4413" s="600"/>
      <c r="B4413" s="600"/>
      <c r="C4413" s="437">
        <v>2120103</v>
      </c>
      <c r="D4413" s="494" t="s">
        <v>1175</v>
      </c>
      <c r="E4413" s="496">
        <v>435650</v>
      </c>
      <c r="F4413" s="597">
        <f t="shared" ref="F4413:G4413" si="3457">E4413*1.1</f>
        <v>479215.00000000006</v>
      </c>
      <c r="G4413" s="597">
        <f t="shared" si="3457"/>
        <v>527136.50000000012</v>
      </c>
    </row>
    <row r="4414" spans="1:8" s="301" customFormat="1" outlineLevel="3">
      <c r="A4414" s="600"/>
      <c r="B4414" s="600"/>
      <c r="C4414" s="443"/>
      <c r="D4414" s="492" t="s">
        <v>1176</v>
      </c>
      <c r="E4414" s="493">
        <f>E4411+E4408+E4406</f>
        <v>5976940</v>
      </c>
      <c r="F4414" s="597">
        <f t="shared" ref="F4414:G4414" si="3458">E4414*1.1</f>
        <v>6574634.0000000009</v>
      </c>
      <c r="G4414" s="597">
        <f t="shared" si="3458"/>
        <v>7232097.4000000013</v>
      </c>
      <c r="H4414" s="132"/>
    </row>
    <row r="4415" spans="1:8" s="301" customFormat="1" outlineLevel="3">
      <c r="A4415" s="600"/>
      <c r="B4415" s="600"/>
      <c r="C4415" s="443">
        <v>2210200</v>
      </c>
      <c r="D4415" s="492" t="s">
        <v>19</v>
      </c>
      <c r="E4415" s="493">
        <f>E4416+E4417</f>
        <v>130000</v>
      </c>
      <c r="F4415" s="597">
        <f t="shared" ref="F4415:G4415" si="3459">E4415*1.1</f>
        <v>143000</v>
      </c>
      <c r="G4415" s="597">
        <f t="shared" si="3459"/>
        <v>157300</v>
      </c>
      <c r="H4415" s="132"/>
    </row>
    <row r="4416" spans="1:8" outlineLevel="3">
      <c r="A4416" s="600"/>
      <c r="B4416" s="600"/>
      <c r="C4416" s="437">
        <v>2210201</v>
      </c>
      <c r="D4416" s="494" t="s">
        <v>1177</v>
      </c>
      <c r="E4416" s="496">
        <v>100000</v>
      </c>
      <c r="F4416" s="597">
        <f t="shared" ref="F4416:G4416" si="3460">E4416*1.1</f>
        <v>110000.00000000001</v>
      </c>
      <c r="G4416" s="597">
        <f t="shared" si="3460"/>
        <v>121000.00000000003</v>
      </c>
    </row>
    <row r="4417" spans="1:8" outlineLevel="3">
      <c r="A4417" s="600"/>
      <c r="B4417" s="600"/>
      <c r="C4417" s="437">
        <v>2210202</v>
      </c>
      <c r="D4417" s="494" t="s">
        <v>21</v>
      </c>
      <c r="E4417" s="496">
        <v>30000</v>
      </c>
      <c r="F4417" s="597">
        <f t="shared" ref="F4417:G4417" si="3461">E4417*1.1</f>
        <v>33000</v>
      </c>
      <c r="G4417" s="597">
        <f t="shared" si="3461"/>
        <v>36300</v>
      </c>
    </row>
    <row r="4418" spans="1:8" s="301" customFormat="1" outlineLevel="3">
      <c r="A4418" s="600"/>
      <c r="B4418" s="600"/>
      <c r="C4418" s="443">
        <v>2210300</v>
      </c>
      <c r="D4418" s="492" t="s">
        <v>1178</v>
      </c>
      <c r="E4418" s="493">
        <f>E4419+E4420+E4421</f>
        <v>551000</v>
      </c>
      <c r="F4418" s="597">
        <f t="shared" ref="F4418:G4418" si="3462">E4418*1.1</f>
        <v>606100</v>
      </c>
      <c r="G4418" s="597">
        <f t="shared" si="3462"/>
        <v>666710</v>
      </c>
      <c r="H4418" s="132"/>
    </row>
    <row r="4419" spans="1:8" outlineLevel="3">
      <c r="A4419" s="600"/>
      <c r="B4419" s="600"/>
      <c r="C4419" s="437">
        <v>2210301</v>
      </c>
      <c r="D4419" s="494" t="s">
        <v>208</v>
      </c>
      <c r="E4419" s="496">
        <v>225000</v>
      </c>
      <c r="F4419" s="597">
        <f t="shared" ref="F4419:G4419" si="3463">E4419*1.1</f>
        <v>247500.00000000003</v>
      </c>
      <c r="G4419" s="597">
        <f t="shared" si="3463"/>
        <v>272250.00000000006</v>
      </c>
    </row>
    <row r="4420" spans="1:8" outlineLevel="3">
      <c r="A4420" s="600"/>
      <c r="B4420" s="600"/>
      <c r="C4420" s="437">
        <v>2210302</v>
      </c>
      <c r="D4420" s="494" t="s">
        <v>25</v>
      </c>
      <c r="E4420" s="496">
        <v>210000</v>
      </c>
      <c r="F4420" s="597">
        <f t="shared" ref="F4420:G4420" si="3464">E4420*1.1</f>
        <v>231000.00000000003</v>
      </c>
      <c r="G4420" s="597">
        <f t="shared" si="3464"/>
        <v>254100.00000000006</v>
      </c>
    </row>
    <row r="4421" spans="1:8" outlineLevel="3">
      <c r="A4421" s="600"/>
      <c r="B4421" s="600"/>
      <c r="C4421" s="437">
        <v>2210303</v>
      </c>
      <c r="D4421" s="494" t="s">
        <v>259</v>
      </c>
      <c r="E4421" s="496">
        <v>116000</v>
      </c>
      <c r="F4421" s="597">
        <f t="shared" ref="F4421:G4421" si="3465">E4421*1.1</f>
        <v>127600.00000000001</v>
      </c>
      <c r="G4421" s="597">
        <f t="shared" si="3465"/>
        <v>140360.00000000003</v>
      </c>
    </row>
    <row r="4422" spans="1:8" s="301" customFormat="1" outlineLevel="3">
      <c r="A4422" s="600"/>
      <c r="B4422" s="600"/>
      <c r="C4422" s="443">
        <v>2210500</v>
      </c>
      <c r="D4422" s="492" t="s">
        <v>931</v>
      </c>
      <c r="E4422" s="493">
        <f>E4423</f>
        <v>100000</v>
      </c>
      <c r="F4422" s="597">
        <f t="shared" ref="F4422:G4422" si="3466">E4422*1.1</f>
        <v>110000.00000000001</v>
      </c>
      <c r="G4422" s="597">
        <f t="shared" si="3466"/>
        <v>121000.00000000003</v>
      </c>
      <c r="H4422" s="132"/>
    </row>
    <row r="4423" spans="1:8" outlineLevel="3">
      <c r="A4423" s="600"/>
      <c r="B4423" s="600"/>
      <c r="C4423" s="437">
        <v>2210502</v>
      </c>
      <c r="D4423" s="494" t="s">
        <v>162</v>
      </c>
      <c r="E4423" s="496">
        <v>100000</v>
      </c>
      <c r="F4423" s="597">
        <f t="shared" ref="F4423:G4423" si="3467">E4423*1.1</f>
        <v>110000.00000000001</v>
      </c>
      <c r="G4423" s="597">
        <f t="shared" si="3467"/>
        <v>121000.00000000003</v>
      </c>
    </row>
    <row r="4424" spans="1:8" s="301" customFormat="1" outlineLevel="3">
      <c r="A4424" s="600"/>
      <c r="B4424" s="600"/>
      <c r="C4424" s="443">
        <v>2210700</v>
      </c>
      <c r="D4424" s="492" t="s">
        <v>34</v>
      </c>
      <c r="E4424" s="493">
        <f>E4425+E4426+E4427+E4428</f>
        <v>445000</v>
      </c>
      <c r="F4424" s="597">
        <f t="shared" ref="F4424:G4424" si="3468">E4424*1.1</f>
        <v>489500.00000000006</v>
      </c>
      <c r="G4424" s="597">
        <f t="shared" si="3468"/>
        <v>538450.00000000012</v>
      </c>
      <c r="H4424" s="132"/>
    </row>
    <row r="4425" spans="1:8" outlineLevel="3">
      <c r="A4425" s="600"/>
      <c r="B4425" s="600"/>
      <c r="C4425" s="437">
        <v>2210701</v>
      </c>
      <c r="D4425" s="494" t="s">
        <v>35</v>
      </c>
      <c r="E4425" s="496">
        <v>115000</v>
      </c>
      <c r="F4425" s="597">
        <f t="shared" ref="F4425:G4425" si="3469">E4425*1.1</f>
        <v>126500.00000000001</v>
      </c>
      <c r="G4425" s="597">
        <f t="shared" si="3469"/>
        <v>139150.00000000003</v>
      </c>
    </row>
    <row r="4426" spans="1:8" outlineLevel="3">
      <c r="A4426" s="600"/>
      <c r="B4426" s="600"/>
      <c r="C4426" s="437">
        <v>2210710</v>
      </c>
      <c r="D4426" s="494" t="s">
        <v>1191</v>
      </c>
      <c r="E4426" s="496">
        <v>150000</v>
      </c>
      <c r="F4426" s="597">
        <f t="shared" ref="F4426:G4426" si="3470">E4426*1.1</f>
        <v>165000</v>
      </c>
      <c r="G4426" s="597">
        <f t="shared" si="3470"/>
        <v>181500.00000000003</v>
      </c>
    </row>
    <row r="4427" spans="1:8" outlineLevel="3">
      <c r="A4427" s="600"/>
      <c r="B4427" s="600"/>
      <c r="C4427" s="437">
        <v>2210711</v>
      </c>
      <c r="D4427" s="494" t="s">
        <v>167</v>
      </c>
      <c r="E4427" s="496">
        <v>150000</v>
      </c>
      <c r="F4427" s="597">
        <f t="shared" ref="F4427:G4427" si="3471">E4427*1.1</f>
        <v>165000</v>
      </c>
      <c r="G4427" s="597">
        <f t="shared" si="3471"/>
        <v>181500.00000000003</v>
      </c>
    </row>
    <row r="4428" spans="1:8" outlineLevel="3">
      <c r="A4428" s="600"/>
      <c r="B4428" s="600"/>
      <c r="C4428" s="437">
        <v>2210712</v>
      </c>
      <c r="D4428" s="494" t="s">
        <v>1192</v>
      </c>
      <c r="E4428" s="496">
        <v>30000</v>
      </c>
      <c r="F4428" s="597">
        <f t="shared" ref="F4428:G4428" si="3472">E4428*1.1</f>
        <v>33000</v>
      </c>
      <c r="G4428" s="597">
        <f t="shared" si="3472"/>
        <v>36300</v>
      </c>
    </row>
    <row r="4429" spans="1:8" s="301" customFormat="1" outlineLevel="3">
      <c r="A4429" s="600"/>
      <c r="B4429" s="600"/>
      <c r="C4429" s="443">
        <v>2210800</v>
      </c>
      <c r="D4429" s="492" t="s">
        <v>41</v>
      </c>
      <c r="E4429" s="493">
        <f>E4430+E4431</f>
        <v>300000</v>
      </c>
      <c r="F4429" s="597">
        <f t="shared" ref="F4429:G4429" si="3473">E4429*1.1</f>
        <v>330000</v>
      </c>
      <c r="G4429" s="597">
        <f t="shared" si="3473"/>
        <v>363000.00000000006</v>
      </c>
      <c r="H4429" s="132"/>
    </row>
    <row r="4430" spans="1:8" outlineLevel="3">
      <c r="A4430" s="600"/>
      <c r="B4430" s="600"/>
      <c r="C4430" s="437">
        <v>2210801</v>
      </c>
      <c r="D4430" s="494" t="s">
        <v>1181</v>
      </c>
      <c r="E4430" s="496">
        <v>200000</v>
      </c>
      <c r="F4430" s="597">
        <f t="shared" ref="F4430:G4430" si="3474">E4430*1.1</f>
        <v>220000.00000000003</v>
      </c>
      <c r="G4430" s="597">
        <f t="shared" si="3474"/>
        <v>242000.00000000006</v>
      </c>
    </row>
    <row r="4431" spans="1:8" outlineLevel="3">
      <c r="A4431" s="600"/>
      <c r="B4431" s="600"/>
      <c r="C4431" s="437">
        <v>2210802</v>
      </c>
      <c r="D4431" s="494" t="s">
        <v>86</v>
      </c>
      <c r="E4431" s="496">
        <v>100000</v>
      </c>
      <c r="F4431" s="597">
        <f t="shared" ref="F4431:G4431" si="3475">E4431*1.1</f>
        <v>110000.00000000001</v>
      </c>
      <c r="G4431" s="597">
        <f t="shared" si="3475"/>
        <v>121000.00000000003</v>
      </c>
    </row>
    <row r="4432" spans="1:8" s="301" customFormat="1" outlineLevel="3">
      <c r="A4432" s="600"/>
      <c r="B4432" s="600"/>
      <c r="C4432" s="443">
        <v>2211200</v>
      </c>
      <c r="D4432" s="492" t="s">
        <v>53</v>
      </c>
      <c r="E4432" s="493">
        <f>E4433</f>
        <v>1000000</v>
      </c>
      <c r="F4432" s="597">
        <f t="shared" ref="F4432:G4432" si="3476">E4432*1.1</f>
        <v>1100000</v>
      </c>
      <c r="G4432" s="597">
        <f t="shared" si="3476"/>
        <v>1210000</v>
      </c>
      <c r="H4432" s="132"/>
    </row>
    <row r="4433" spans="1:8" outlineLevel="3">
      <c r="A4433" s="600"/>
      <c r="B4433" s="600"/>
      <c r="C4433" s="437">
        <v>2211201</v>
      </c>
      <c r="D4433" s="494" t="s">
        <v>91</v>
      </c>
      <c r="E4433" s="496">
        <v>1000000</v>
      </c>
      <c r="F4433" s="597">
        <f t="shared" ref="F4433:G4433" si="3477">E4433*1.1</f>
        <v>1100000</v>
      </c>
      <c r="G4433" s="597">
        <f t="shared" si="3477"/>
        <v>1210000</v>
      </c>
    </row>
    <row r="4434" spans="1:8" s="301" customFormat="1" outlineLevel="3">
      <c r="A4434" s="600"/>
      <c r="B4434" s="600"/>
      <c r="C4434" s="443">
        <v>2220200</v>
      </c>
      <c r="D4434" s="492" t="s">
        <v>179</v>
      </c>
      <c r="E4434" s="493">
        <f>E4435</f>
        <v>555000</v>
      </c>
      <c r="F4434" s="597">
        <f t="shared" ref="F4434:G4434" si="3478">E4434*1.1</f>
        <v>610500</v>
      </c>
      <c r="G4434" s="597">
        <f t="shared" si="3478"/>
        <v>671550</v>
      </c>
      <c r="H4434" s="132"/>
    </row>
    <row r="4435" spans="1:8" outlineLevel="3">
      <c r="A4435" s="600"/>
      <c r="B4435" s="600"/>
      <c r="C4435" s="437">
        <v>2220201</v>
      </c>
      <c r="D4435" s="494" t="s">
        <v>476</v>
      </c>
      <c r="E4435" s="496">
        <v>555000</v>
      </c>
      <c r="F4435" s="597">
        <f t="shared" ref="F4435:G4435" si="3479">E4435*1.1</f>
        <v>610500</v>
      </c>
      <c r="G4435" s="597">
        <f t="shared" si="3479"/>
        <v>671550</v>
      </c>
    </row>
    <row r="4436" spans="1:8" s="301" customFormat="1" outlineLevel="2">
      <c r="A4436" s="600"/>
      <c r="B4436" s="600"/>
      <c r="C4436" s="484"/>
      <c r="D4436" s="490" t="s">
        <v>1193</v>
      </c>
      <c r="E4436" s="626">
        <f>E4434+E4432+E4429+E4424+E4422+E4418+E4415</f>
        <v>3081000</v>
      </c>
      <c r="F4436" s="597">
        <f t="shared" ref="F4436:G4436" si="3480">E4436*1.1</f>
        <v>3389100.0000000005</v>
      </c>
      <c r="G4436" s="597">
        <f t="shared" si="3480"/>
        <v>3728010.0000000009</v>
      </c>
      <c r="H4436" s="132"/>
    </row>
    <row r="4437" spans="1:8" s="301" customFormat="1" outlineLevel="2">
      <c r="A4437" s="600"/>
      <c r="B4437" s="600"/>
      <c r="C4437" s="443"/>
      <c r="D4437" s="490" t="s">
        <v>101</v>
      </c>
      <c r="E4437" s="626">
        <f>E4436+E4414</f>
        <v>9057940</v>
      </c>
      <c r="F4437" s="597">
        <f t="shared" ref="F4437:G4437" si="3481">E4437*1.1</f>
        <v>9963734</v>
      </c>
      <c r="G4437" s="597">
        <f t="shared" si="3481"/>
        <v>10960107.4</v>
      </c>
      <c r="H4437" s="132"/>
    </row>
    <row r="4438" spans="1:8" outlineLevel="2">
      <c r="A4438" s="600"/>
      <c r="B4438" s="600"/>
      <c r="C4438" s="437"/>
      <c r="D4438" s="492"/>
      <c r="E4438" s="496">
        <v>0</v>
      </c>
      <c r="F4438" s="597">
        <f t="shared" ref="F4438:G4438" si="3482">E4438*1.1</f>
        <v>0</v>
      </c>
      <c r="G4438" s="597">
        <f t="shared" si="3482"/>
        <v>0</v>
      </c>
    </row>
    <row r="4439" spans="1:8" outlineLevel="2">
      <c r="A4439" s="600"/>
      <c r="B4439" s="600"/>
      <c r="C4439" s="437"/>
      <c r="D4439" s="490" t="s">
        <v>184</v>
      </c>
      <c r="E4439" s="496">
        <v>0</v>
      </c>
      <c r="F4439" s="597">
        <f t="shared" ref="F4439:G4439" si="3483">E4439*1.1</f>
        <v>0</v>
      </c>
      <c r="G4439" s="597">
        <f t="shared" si="3483"/>
        <v>0</v>
      </c>
    </row>
    <row r="4440" spans="1:8" s="301" customFormat="1" outlineLevel="3">
      <c r="A4440" s="600"/>
      <c r="B4440" s="600"/>
      <c r="C4440" s="443">
        <v>3110500</v>
      </c>
      <c r="D4440" s="492" t="s">
        <v>1194</v>
      </c>
      <c r="E4440" s="493">
        <f>E4441+E4442</f>
        <v>4000000</v>
      </c>
      <c r="F4440" s="597">
        <f t="shared" ref="F4440:G4440" si="3484">E4440*1.1</f>
        <v>4400000</v>
      </c>
      <c r="G4440" s="597">
        <f t="shared" si="3484"/>
        <v>4840000</v>
      </c>
      <c r="H4440" s="132"/>
    </row>
    <row r="4441" spans="1:8" ht="30" outlineLevel="3">
      <c r="A4441" s="600"/>
      <c r="B4441" s="600"/>
      <c r="C4441" s="437">
        <v>3110504</v>
      </c>
      <c r="D4441" s="702" t="s">
        <v>1195</v>
      </c>
      <c r="E4441" s="496">
        <v>2000000</v>
      </c>
      <c r="F4441" s="597">
        <f t="shared" ref="F4441:G4441" si="3485">E4441*1.1</f>
        <v>2200000</v>
      </c>
      <c r="G4441" s="597">
        <f t="shared" si="3485"/>
        <v>2420000</v>
      </c>
    </row>
    <row r="4442" spans="1:8" ht="30" outlineLevel="3">
      <c r="A4442" s="600"/>
      <c r="B4442" s="600"/>
      <c r="C4442" s="437">
        <v>3110504</v>
      </c>
      <c r="D4442" s="702" t="s">
        <v>1196</v>
      </c>
      <c r="E4442" s="496">
        <v>2000000</v>
      </c>
      <c r="F4442" s="597">
        <f t="shared" ref="F4442:G4442" si="3486">E4442*1.1</f>
        <v>2200000</v>
      </c>
      <c r="G4442" s="597">
        <f t="shared" si="3486"/>
        <v>2420000</v>
      </c>
    </row>
    <row r="4443" spans="1:8" s="301" customFormat="1" outlineLevel="3">
      <c r="A4443" s="600"/>
      <c r="B4443" s="600"/>
      <c r="C4443" s="443">
        <v>3110300</v>
      </c>
      <c r="D4443" s="700" t="s">
        <v>294</v>
      </c>
      <c r="E4443" s="493">
        <f>E4444</f>
        <v>1000000</v>
      </c>
      <c r="F4443" s="597">
        <f t="shared" ref="F4443:G4443" si="3487">E4443*1.1</f>
        <v>1100000</v>
      </c>
      <c r="G4443" s="597">
        <f t="shared" si="3487"/>
        <v>1210000</v>
      </c>
      <c r="H4443" s="132"/>
    </row>
    <row r="4444" spans="1:8" ht="45" outlineLevel="3">
      <c r="A4444" s="600"/>
      <c r="B4444" s="600"/>
      <c r="C4444" s="437">
        <v>3110302</v>
      </c>
      <c r="D4444" s="494" t="s">
        <v>1197</v>
      </c>
      <c r="E4444" s="496">
        <v>1000000</v>
      </c>
      <c r="F4444" s="597">
        <f t="shared" ref="F4444:G4444" si="3488">E4444*1.1</f>
        <v>1100000</v>
      </c>
      <c r="G4444" s="597">
        <f t="shared" si="3488"/>
        <v>1210000</v>
      </c>
    </row>
    <row r="4445" spans="1:8" s="301" customFormat="1" outlineLevel="2">
      <c r="A4445" s="600"/>
      <c r="B4445" s="600"/>
      <c r="C4445" s="443"/>
      <c r="D4445" s="490" t="s">
        <v>201</v>
      </c>
      <c r="E4445" s="626">
        <f>E4443+E4440</f>
        <v>5000000</v>
      </c>
      <c r="F4445" s="597">
        <f t="shared" ref="F4445:G4445" si="3489">E4445*1.1</f>
        <v>5500000</v>
      </c>
      <c r="G4445" s="597">
        <f t="shared" si="3489"/>
        <v>6050000.0000000009</v>
      </c>
      <c r="H4445" s="132"/>
    </row>
    <row r="4446" spans="1:8" s="301" customFormat="1" outlineLevel="1">
      <c r="A4446" s="600"/>
      <c r="B4446" s="600"/>
      <c r="C4446" s="443"/>
      <c r="D4446" s="490" t="s">
        <v>924</v>
      </c>
      <c r="E4446" s="626">
        <f>E4445+E4437</f>
        <v>14057940</v>
      </c>
      <c r="F4446" s="597">
        <f t="shared" ref="F4446:G4446" si="3490">E4446*1.1</f>
        <v>15463734.000000002</v>
      </c>
      <c r="G4446" s="597">
        <f t="shared" si="3490"/>
        <v>17010107.400000002</v>
      </c>
      <c r="H4446" s="132"/>
    </row>
    <row r="4447" spans="1:8" outlineLevel="1">
      <c r="A4447" s="600"/>
      <c r="B4447" s="600"/>
      <c r="C4447" s="437"/>
      <c r="D4447" s="494"/>
      <c r="E4447" s="496">
        <v>0</v>
      </c>
      <c r="F4447" s="597">
        <f t="shared" ref="F4447:G4447" si="3491">E4447*1.1</f>
        <v>0</v>
      </c>
      <c r="G4447" s="597">
        <f t="shared" si="3491"/>
        <v>0</v>
      </c>
    </row>
    <row r="4448" spans="1:8" outlineLevel="1">
      <c r="A4448" s="624" t="s">
        <v>430</v>
      </c>
      <c r="B4448" s="624"/>
      <c r="C4448" s="438" t="s">
        <v>1198</v>
      </c>
      <c r="D4448" s="490"/>
      <c r="E4448" s="496">
        <v>0</v>
      </c>
      <c r="F4448" s="597">
        <f t="shared" ref="F4448:G4448" si="3492">E4448*1.1</f>
        <v>0</v>
      </c>
      <c r="G4448" s="597">
        <f t="shared" si="3492"/>
        <v>0</v>
      </c>
    </row>
    <row r="4449" spans="1:8" outlineLevel="1">
      <c r="A4449" s="624"/>
      <c r="B4449" s="624" t="s">
        <v>1199</v>
      </c>
      <c r="C4449" s="438" t="s">
        <v>1200</v>
      </c>
      <c r="D4449" s="490"/>
      <c r="E4449" s="496">
        <v>0</v>
      </c>
      <c r="F4449" s="597">
        <f t="shared" ref="F4449:G4449" si="3493">E4449*1.1</f>
        <v>0</v>
      </c>
      <c r="G4449" s="597">
        <f t="shared" si="3493"/>
        <v>0</v>
      </c>
    </row>
    <row r="4450" spans="1:8" s="301" customFormat="1" outlineLevel="3">
      <c r="A4450" s="600"/>
      <c r="B4450" s="600"/>
      <c r="C4450" s="443">
        <v>2110100</v>
      </c>
      <c r="D4450" s="700" t="s">
        <v>1169</v>
      </c>
      <c r="E4450" s="493">
        <f>E4451</f>
        <v>2556200</v>
      </c>
      <c r="F4450" s="597">
        <f t="shared" ref="F4450:G4450" si="3494">E4450*1.1</f>
        <v>2811820</v>
      </c>
      <c r="G4450" s="597">
        <f t="shared" si="3494"/>
        <v>3093002.0000000005</v>
      </c>
      <c r="H4450" s="132"/>
    </row>
    <row r="4451" spans="1:8" outlineLevel="3">
      <c r="A4451" s="600"/>
      <c r="B4451" s="600"/>
      <c r="C4451" s="437">
        <v>2110199</v>
      </c>
      <c r="D4451" s="701" t="s">
        <v>13</v>
      </c>
      <c r="E4451" s="496">
        <v>2556200</v>
      </c>
      <c r="F4451" s="597">
        <f t="shared" ref="F4451:G4451" si="3495">E4451*1.1</f>
        <v>2811820</v>
      </c>
      <c r="G4451" s="597">
        <f t="shared" si="3495"/>
        <v>3093002.0000000005</v>
      </c>
    </row>
    <row r="4452" spans="1:8" s="301" customFormat="1" outlineLevel="3">
      <c r="A4452" s="600"/>
      <c r="B4452" s="600"/>
      <c r="C4452" s="443">
        <v>2110300</v>
      </c>
      <c r="D4452" s="463" t="s">
        <v>1171</v>
      </c>
      <c r="E4452" s="493">
        <f>SUM(E4453:E4454)</f>
        <v>1138920</v>
      </c>
      <c r="F4452" s="597">
        <f t="shared" ref="F4452:G4452" si="3496">E4452*1.1</f>
        <v>1252812</v>
      </c>
      <c r="G4452" s="597">
        <f t="shared" si="3496"/>
        <v>1378093.2000000002</v>
      </c>
      <c r="H4452" s="132"/>
    </row>
    <row r="4453" spans="1:8" outlineLevel="3">
      <c r="A4453" s="600"/>
      <c r="B4453" s="600"/>
      <c r="C4453" s="437">
        <v>2110301</v>
      </c>
      <c r="D4453" s="618" t="s">
        <v>1172</v>
      </c>
      <c r="E4453" s="496">
        <v>823455</v>
      </c>
      <c r="F4453" s="597">
        <f t="shared" ref="F4453:G4453" si="3497">E4453*1.1</f>
        <v>905800.50000000012</v>
      </c>
      <c r="G4453" s="597">
        <f t="shared" si="3497"/>
        <v>996380.55000000016</v>
      </c>
    </row>
    <row r="4454" spans="1:8" outlineLevel="3">
      <c r="A4454" s="600"/>
      <c r="B4454" s="600"/>
      <c r="C4454" s="437">
        <v>2110314</v>
      </c>
      <c r="D4454" s="339" t="s">
        <v>1173</v>
      </c>
      <c r="E4454" s="496">
        <v>315465</v>
      </c>
      <c r="F4454" s="597">
        <f t="shared" ref="F4454:G4454" si="3498">E4454*1.1</f>
        <v>347011.5</v>
      </c>
      <c r="G4454" s="597">
        <f t="shared" si="3498"/>
        <v>381712.65</v>
      </c>
    </row>
    <row r="4455" spans="1:8" s="301" customFormat="1" ht="30" outlineLevel="3">
      <c r="A4455" s="600"/>
      <c r="B4455" s="600"/>
      <c r="C4455" s="443">
        <v>2120100</v>
      </c>
      <c r="D4455" s="700" t="s">
        <v>876</v>
      </c>
      <c r="E4455" s="493">
        <f>E4456+E4457</f>
        <v>915900</v>
      </c>
      <c r="F4455" s="597">
        <f t="shared" ref="F4455:G4455" si="3499">E4455*1.1</f>
        <v>1007490.0000000001</v>
      </c>
      <c r="G4455" s="597">
        <f t="shared" si="3499"/>
        <v>1108239.0000000002</v>
      </c>
      <c r="H4455" s="132"/>
    </row>
    <row r="4456" spans="1:8" outlineLevel="3">
      <c r="A4456" s="600"/>
      <c r="B4456" s="600"/>
      <c r="C4456" s="437">
        <v>2120101</v>
      </c>
      <c r="D4456" s="494" t="s">
        <v>1174</v>
      </c>
      <c r="E4456" s="496">
        <v>365900</v>
      </c>
      <c r="F4456" s="597">
        <f t="shared" ref="F4456:G4456" si="3500">E4456*1.1</f>
        <v>402490.00000000006</v>
      </c>
      <c r="G4456" s="597">
        <f t="shared" si="3500"/>
        <v>442739.00000000012</v>
      </c>
    </row>
    <row r="4457" spans="1:8" outlineLevel="3">
      <c r="A4457" s="600"/>
      <c r="B4457" s="600"/>
      <c r="C4457" s="437">
        <v>2120103</v>
      </c>
      <c r="D4457" s="494" t="s">
        <v>1175</v>
      </c>
      <c r="E4457" s="496">
        <v>550000</v>
      </c>
      <c r="F4457" s="597">
        <f t="shared" ref="F4457:G4457" si="3501">E4457*1.1</f>
        <v>605000</v>
      </c>
      <c r="G4457" s="597">
        <f t="shared" si="3501"/>
        <v>665500</v>
      </c>
    </row>
    <row r="4458" spans="1:8" s="301" customFormat="1" outlineLevel="3">
      <c r="A4458" s="600"/>
      <c r="B4458" s="600"/>
      <c r="C4458" s="443"/>
      <c r="D4458" s="492" t="s">
        <v>1176</v>
      </c>
      <c r="E4458" s="493">
        <f>E4455+E4452+E4450</f>
        <v>4611020</v>
      </c>
      <c r="F4458" s="597">
        <f t="shared" ref="F4458:G4458" si="3502">E4458*1.1</f>
        <v>5072122</v>
      </c>
      <c r="G4458" s="597">
        <f t="shared" si="3502"/>
        <v>5579334.2000000002</v>
      </c>
      <c r="H4458" s="132"/>
    </row>
    <row r="4459" spans="1:8" s="301" customFormat="1" outlineLevel="3">
      <c r="A4459" s="600"/>
      <c r="B4459" s="600"/>
      <c r="C4459" s="443">
        <v>2210300</v>
      </c>
      <c r="D4459" s="492" t="s">
        <v>1178</v>
      </c>
      <c r="E4459" s="493">
        <f>E4460+E4461+E4462</f>
        <v>348355</v>
      </c>
      <c r="F4459" s="597">
        <f t="shared" ref="F4459:G4459" si="3503">E4459*1.1</f>
        <v>383190.50000000006</v>
      </c>
      <c r="G4459" s="597">
        <f t="shared" si="3503"/>
        <v>421509.5500000001</v>
      </c>
      <c r="H4459" s="132"/>
    </row>
    <row r="4460" spans="1:8" outlineLevel="3">
      <c r="A4460" s="600"/>
      <c r="B4460" s="600"/>
      <c r="C4460" s="437">
        <v>2210301</v>
      </c>
      <c r="D4460" s="494" t="s">
        <v>208</v>
      </c>
      <c r="E4460" s="496">
        <v>120000</v>
      </c>
      <c r="F4460" s="597">
        <f t="shared" ref="F4460:G4460" si="3504">E4460*1.1</f>
        <v>132000</v>
      </c>
      <c r="G4460" s="597">
        <f t="shared" si="3504"/>
        <v>145200</v>
      </c>
    </row>
    <row r="4461" spans="1:8" outlineLevel="3">
      <c r="A4461" s="600"/>
      <c r="B4461" s="600"/>
      <c r="C4461" s="437">
        <v>2210302</v>
      </c>
      <c r="D4461" s="494" t="s">
        <v>25</v>
      </c>
      <c r="E4461" s="496">
        <v>130855</v>
      </c>
      <c r="F4461" s="597">
        <f t="shared" ref="F4461:G4461" si="3505">E4461*1.1</f>
        <v>143940.5</v>
      </c>
      <c r="G4461" s="597">
        <f t="shared" si="3505"/>
        <v>158334.55000000002</v>
      </c>
    </row>
    <row r="4462" spans="1:8" outlineLevel="3">
      <c r="A4462" s="600"/>
      <c r="B4462" s="600"/>
      <c r="C4462" s="437">
        <v>2210303</v>
      </c>
      <c r="D4462" s="494" t="s">
        <v>259</v>
      </c>
      <c r="E4462" s="496">
        <v>97500</v>
      </c>
      <c r="F4462" s="597">
        <f t="shared" ref="F4462:G4462" si="3506">E4462*1.1</f>
        <v>107250.00000000001</v>
      </c>
      <c r="G4462" s="597">
        <f t="shared" si="3506"/>
        <v>117975.00000000003</v>
      </c>
    </row>
    <row r="4463" spans="1:8" s="301" customFormat="1" outlineLevel="3">
      <c r="A4463" s="600"/>
      <c r="B4463" s="600"/>
      <c r="C4463" s="443">
        <v>2210700</v>
      </c>
      <c r="D4463" s="492" t="s">
        <v>34</v>
      </c>
      <c r="E4463" s="493">
        <f>E4464+E4465+E4466+E4467+E4468</f>
        <v>290200</v>
      </c>
      <c r="F4463" s="597">
        <f t="shared" ref="F4463:G4463" si="3507">E4463*1.1</f>
        <v>319220</v>
      </c>
      <c r="G4463" s="597">
        <f t="shared" si="3507"/>
        <v>351142</v>
      </c>
      <c r="H4463" s="132"/>
    </row>
    <row r="4464" spans="1:8" outlineLevel="3">
      <c r="A4464" s="600"/>
      <c r="B4464" s="600"/>
      <c r="C4464" s="437">
        <v>2210701</v>
      </c>
      <c r="D4464" s="494" t="s">
        <v>35</v>
      </c>
      <c r="E4464" s="496">
        <v>100000</v>
      </c>
      <c r="F4464" s="597">
        <f t="shared" ref="F4464:G4464" si="3508">E4464*1.1</f>
        <v>110000.00000000001</v>
      </c>
      <c r="G4464" s="597">
        <f t="shared" si="3508"/>
        <v>121000.00000000003</v>
      </c>
    </row>
    <row r="4465" spans="1:8" outlineLevel="3">
      <c r="A4465" s="600"/>
      <c r="B4465" s="600"/>
      <c r="C4465" s="437">
        <v>2210703</v>
      </c>
      <c r="D4465" s="494" t="s">
        <v>1201</v>
      </c>
      <c r="E4465" s="496">
        <v>20000</v>
      </c>
      <c r="F4465" s="597">
        <f t="shared" ref="F4465:G4465" si="3509">E4465*1.1</f>
        <v>22000</v>
      </c>
      <c r="G4465" s="597">
        <f t="shared" si="3509"/>
        <v>24200.000000000004</v>
      </c>
    </row>
    <row r="4466" spans="1:8" outlineLevel="3">
      <c r="A4466" s="600"/>
      <c r="B4466" s="600"/>
      <c r="C4466" s="437">
        <v>2210710</v>
      </c>
      <c r="D4466" s="494" t="s">
        <v>1202</v>
      </c>
      <c r="E4466" s="496">
        <v>60000</v>
      </c>
      <c r="F4466" s="597">
        <f t="shared" ref="F4466:G4466" si="3510">E4466*1.1</f>
        <v>66000</v>
      </c>
      <c r="G4466" s="597">
        <f t="shared" si="3510"/>
        <v>72600</v>
      </c>
    </row>
    <row r="4467" spans="1:8" outlineLevel="3">
      <c r="A4467" s="600"/>
      <c r="B4467" s="600"/>
      <c r="C4467" s="437">
        <v>2210711</v>
      </c>
      <c r="D4467" s="494" t="s">
        <v>167</v>
      </c>
      <c r="E4467" s="496">
        <v>52200</v>
      </c>
      <c r="F4467" s="597">
        <f t="shared" ref="F4467:G4467" si="3511">E4467*1.1</f>
        <v>57420.000000000007</v>
      </c>
      <c r="G4467" s="597">
        <f t="shared" si="3511"/>
        <v>63162.000000000015</v>
      </c>
    </row>
    <row r="4468" spans="1:8" outlineLevel="3">
      <c r="A4468" s="600"/>
      <c r="B4468" s="600"/>
      <c r="C4468" s="437">
        <v>2210712</v>
      </c>
      <c r="D4468" s="494" t="s">
        <v>1203</v>
      </c>
      <c r="E4468" s="496">
        <v>58000</v>
      </c>
      <c r="F4468" s="597">
        <f t="shared" ref="F4468:G4468" si="3512">E4468*1.1</f>
        <v>63800.000000000007</v>
      </c>
      <c r="G4468" s="597">
        <f t="shared" si="3512"/>
        <v>70180.000000000015</v>
      </c>
    </row>
    <row r="4469" spans="1:8" s="301" customFormat="1" outlineLevel="3">
      <c r="A4469" s="600"/>
      <c r="B4469" s="600"/>
      <c r="C4469" s="443">
        <v>2210800</v>
      </c>
      <c r="D4469" s="492" t="s">
        <v>41</v>
      </c>
      <c r="E4469" s="493">
        <f>E4470+E4471</f>
        <v>200000</v>
      </c>
      <c r="F4469" s="597">
        <f t="shared" ref="F4469:G4469" si="3513">E4469*1.1</f>
        <v>220000.00000000003</v>
      </c>
      <c r="G4469" s="597">
        <f t="shared" si="3513"/>
        <v>242000.00000000006</v>
      </c>
      <c r="H4469" s="132"/>
    </row>
    <row r="4470" spans="1:8" ht="30" outlineLevel="3">
      <c r="A4470" s="600"/>
      <c r="B4470" s="600"/>
      <c r="C4470" s="437">
        <v>2210801</v>
      </c>
      <c r="D4470" s="494" t="s">
        <v>1204</v>
      </c>
      <c r="E4470" s="496">
        <v>100000</v>
      </c>
      <c r="F4470" s="597">
        <f t="shared" ref="F4470:G4470" si="3514">E4470*1.1</f>
        <v>110000.00000000001</v>
      </c>
      <c r="G4470" s="597">
        <f t="shared" si="3514"/>
        <v>121000.00000000003</v>
      </c>
    </row>
    <row r="4471" spans="1:8" outlineLevel="3">
      <c r="A4471" s="600"/>
      <c r="B4471" s="600"/>
      <c r="C4471" s="437">
        <v>2210802</v>
      </c>
      <c r="D4471" s="494" t="s">
        <v>86</v>
      </c>
      <c r="E4471" s="496">
        <v>100000</v>
      </c>
      <c r="F4471" s="597">
        <f t="shared" ref="F4471:G4471" si="3515">E4471*1.1</f>
        <v>110000.00000000001</v>
      </c>
      <c r="G4471" s="597">
        <f t="shared" si="3515"/>
        <v>121000.00000000003</v>
      </c>
    </row>
    <row r="4472" spans="1:8" s="301" customFormat="1" outlineLevel="3">
      <c r="A4472" s="600"/>
      <c r="B4472" s="600"/>
      <c r="C4472" s="443">
        <v>2211200</v>
      </c>
      <c r="D4472" s="492" t="s">
        <v>53</v>
      </c>
      <c r="E4472" s="493">
        <f>E4473</f>
        <v>1000000</v>
      </c>
      <c r="F4472" s="597">
        <f t="shared" ref="F4472:G4472" si="3516">E4472*1.1</f>
        <v>1100000</v>
      </c>
      <c r="G4472" s="597">
        <f t="shared" si="3516"/>
        <v>1210000</v>
      </c>
      <c r="H4472" s="132"/>
    </row>
    <row r="4473" spans="1:8" outlineLevel="3">
      <c r="A4473" s="600"/>
      <c r="B4473" s="600"/>
      <c r="C4473" s="437">
        <v>2211201</v>
      </c>
      <c r="D4473" s="494" t="s">
        <v>91</v>
      </c>
      <c r="E4473" s="496">
        <v>1000000</v>
      </c>
      <c r="F4473" s="597">
        <f t="shared" ref="F4473:G4473" si="3517">E4473*1.1</f>
        <v>1100000</v>
      </c>
      <c r="G4473" s="597">
        <f t="shared" si="3517"/>
        <v>1210000</v>
      </c>
    </row>
    <row r="4474" spans="1:8" s="301" customFormat="1" outlineLevel="3">
      <c r="A4474" s="600"/>
      <c r="B4474" s="600"/>
      <c r="C4474" s="443">
        <v>2220200</v>
      </c>
      <c r="D4474" s="492" t="s">
        <v>179</v>
      </c>
      <c r="E4474" s="493">
        <f>E4475</f>
        <v>350000</v>
      </c>
      <c r="F4474" s="597">
        <f t="shared" ref="F4474:G4474" si="3518">E4474*1.1</f>
        <v>385000.00000000006</v>
      </c>
      <c r="G4474" s="597">
        <f t="shared" si="3518"/>
        <v>423500.00000000012</v>
      </c>
      <c r="H4474" s="132"/>
    </row>
    <row r="4475" spans="1:8" outlineLevel="3">
      <c r="A4475" s="600"/>
      <c r="B4475" s="600"/>
      <c r="C4475" s="437">
        <v>2220201</v>
      </c>
      <c r="D4475" s="494" t="s">
        <v>476</v>
      </c>
      <c r="E4475" s="496">
        <v>350000</v>
      </c>
      <c r="F4475" s="597">
        <f t="shared" ref="F4475:G4475" si="3519">E4475*1.1</f>
        <v>385000.00000000006</v>
      </c>
      <c r="G4475" s="597">
        <f t="shared" si="3519"/>
        <v>423500.00000000012</v>
      </c>
    </row>
    <row r="4476" spans="1:8" s="301" customFormat="1" outlineLevel="3">
      <c r="A4476" s="600"/>
      <c r="B4476" s="600"/>
      <c r="C4476" s="443">
        <v>3111000</v>
      </c>
      <c r="D4476" s="492" t="s">
        <v>65</v>
      </c>
      <c r="E4476" s="493">
        <f>E4477</f>
        <v>500000</v>
      </c>
      <c r="F4476" s="597">
        <f t="shared" ref="F4476:G4476" si="3520">E4476*1.1</f>
        <v>550000</v>
      </c>
      <c r="G4476" s="597">
        <f t="shared" si="3520"/>
        <v>605000</v>
      </c>
      <c r="H4476" s="132"/>
    </row>
    <row r="4477" spans="1:8" s="301" customFormat="1" outlineLevel="3">
      <c r="A4477" s="600"/>
      <c r="B4477" s="600"/>
      <c r="C4477" s="437">
        <v>3111002</v>
      </c>
      <c r="D4477" s="494" t="s">
        <v>67</v>
      </c>
      <c r="E4477" s="496">
        <v>500000</v>
      </c>
      <c r="F4477" s="597">
        <f t="shared" ref="F4477:G4477" si="3521">E4477*1.1</f>
        <v>550000</v>
      </c>
      <c r="G4477" s="597">
        <f t="shared" si="3521"/>
        <v>605000</v>
      </c>
      <c r="H4477" s="132"/>
    </row>
    <row r="4478" spans="1:8" s="301" customFormat="1" ht="30" outlineLevel="3">
      <c r="A4478" s="600"/>
      <c r="B4478" s="600"/>
      <c r="C4478" s="441">
        <v>3111400</v>
      </c>
      <c r="D4478" s="502" t="s">
        <v>68</v>
      </c>
      <c r="E4478" s="676">
        <f>E4479</f>
        <v>350000</v>
      </c>
      <c r="F4478" s="597">
        <f t="shared" ref="F4478:G4478" si="3522">E4478*1.1</f>
        <v>385000.00000000006</v>
      </c>
      <c r="G4478" s="597">
        <f t="shared" si="3522"/>
        <v>423500.00000000012</v>
      </c>
      <c r="H4478" s="132"/>
    </row>
    <row r="4479" spans="1:8" s="301" customFormat="1" outlineLevel="3">
      <c r="A4479" s="600"/>
      <c r="B4479" s="600"/>
      <c r="C4479" s="355">
        <v>3111499</v>
      </c>
      <c r="D4479" s="494" t="s">
        <v>1205</v>
      </c>
      <c r="E4479" s="677">
        <v>350000</v>
      </c>
      <c r="F4479" s="597">
        <f t="shared" ref="F4479:G4479" si="3523">E4479*1.1</f>
        <v>385000.00000000006</v>
      </c>
      <c r="G4479" s="597">
        <f t="shared" si="3523"/>
        <v>423500.00000000012</v>
      </c>
      <c r="H4479" s="132"/>
    </row>
    <row r="4480" spans="1:8" s="301" customFormat="1" outlineLevel="3">
      <c r="A4480" s="600"/>
      <c r="B4480" s="600"/>
      <c r="C4480" s="484"/>
      <c r="D4480" s="490" t="s">
        <v>1206</v>
      </c>
      <c r="E4480" s="626">
        <f>E4476+E4474+E4472+E4469+E4463+E4459+E4478</f>
        <v>3038555</v>
      </c>
      <c r="F4480" s="597">
        <f t="shared" ref="F4480:G4480" si="3524">E4480*1.1</f>
        <v>3342410.5000000005</v>
      </c>
      <c r="G4480" s="597">
        <f t="shared" si="3524"/>
        <v>3676651.5500000007</v>
      </c>
      <c r="H4480" s="132"/>
    </row>
    <row r="4481" spans="1:8" outlineLevel="2">
      <c r="A4481" s="600"/>
      <c r="B4481" s="600"/>
      <c r="C4481" s="443"/>
      <c r="D4481" s="490" t="s">
        <v>101</v>
      </c>
      <c r="E4481" s="626">
        <f>E4480+E4458</f>
        <v>7649575</v>
      </c>
      <c r="F4481" s="597">
        <f t="shared" ref="F4481:G4481" si="3525">E4481*1.1</f>
        <v>8414532.5</v>
      </c>
      <c r="G4481" s="597">
        <f t="shared" si="3525"/>
        <v>9255985.75</v>
      </c>
    </row>
    <row r="4482" spans="1:8" outlineLevel="2">
      <c r="A4482" s="600"/>
      <c r="B4482" s="600"/>
      <c r="C4482" s="437"/>
      <c r="D4482" s="492"/>
      <c r="E4482" s="496">
        <v>0</v>
      </c>
      <c r="F4482" s="597">
        <f t="shared" ref="F4482:G4482" si="3526">E4482*1.1</f>
        <v>0</v>
      </c>
      <c r="G4482" s="597">
        <f t="shared" si="3526"/>
        <v>0</v>
      </c>
    </row>
    <row r="4483" spans="1:8" s="301" customFormat="1" outlineLevel="2">
      <c r="A4483" s="600"/>
      <c r="B4483" s="600"/>
      <c r="C4483" s="437"/>
      <c r="D4483" s="492" t="s">
        <v>184</v>
      </c>
      <c r="E4483" s="496">
        <v>0</v>
      </c>
      <c r="F4483" s="597">
        <f t="shared" ref="F4483:G4483" si="3527">E4483*1.1</f>
        <v>0</v>
      </c>
      <c r="G4483" s="597">
        <f t="shared" si="3527"/>
        <v>0</v>
      </c>
      <c r="H4483" s="132"/>
    </row>
    <row r="4484" spans="1:8" s="301" customFormat="1" outlineLevel="3">
      <c r="A4484" s="600"/>
      <c r="B4484" s="600"/>
      <c r="C4484" s="443">
        <v>3110200</v>
      </c>
      <c r="D4484" s="492" t="s">
        <v>72</v>
      </c>
      <c r="E4484" s="493">
        <f>E4485</f>
        <v>2000000</v>
      </c>
      <c r="F4484" s="597">
        <f t="shared" ref="F4484:G4484" si="3528">E4484*1.1</f>
        <v>2200000</v>
      </c>
      <c r="G4484" s="597">
        <f t="shared" si="3528"/>
        <v>2420000</v>
      </c>
      <c r="H4484" s="132"/>
    </row>
    <row r="4485" spans="1:8" s="301" customFormat="1" ht="30" outlineLevel="3">
      <c r="A4485" s="600"/>
      <c r="B4485" s="600"/>
      <c r="C4485" s="437">
        <v>3110299</v>
      </c>
      <c r="D4485" s="494" t="s">
        <v>1207</v>
      </c>
      <c r="E4485" s="496">
        <v>2000000</v>
      </c>
      <c r="F4485" s="597">
        <f t="shared" ref="F4485:G4485" si="3529">E4485*1.1</f>
        <v>2200000</v>
      </c>
      <c r="G4485" s="597">
        <f t="shared" si="3529"/>
        <v>2420000</v>
      </c>
      <c r="H4485" s="132"/>
    </row>
    <row r="4486" spans="1:8" outlineLevel="3">
      <c r="A4486" s="600"/>
      <c r="B4486" s="600"/>
      <c r="C4486" s="443">
        <v>3110500</v>
      </c>
      <c r="D4486" s="492" t="s">
        <v>1194</v>
      </c>
      <c r="E4486" s="493">
        <f>E4487+E4488</f>
        <v>7000000</v>
      </c>
      <c r="F4486" s="597">
        <f t="shared" ref="F4486:G4486" si="3530">E4486*1.1</f>
        <v>7700000.0000000009</v>
      </c>
      <c r="G4486" s="597">
        <f t="shared" si="3530"/>
        <v>8470000.0000000019</v>
      </c>
    </row>
    <row r="4487" spans="1:8" ht="45" outlineLevel="3">
      <c r="A4487" s="600"/>
      <c r="B4487" s="600"/>
      <c r="C4487" s="437">
        <v>3110504</v>
      </c>
      <c r="D4487" s="702" t="s">
        <v>1208</v>
      </c>
      <c r="E4487" s="496">
        <v>4000000</v>
      </c>
      <c r="F4487" s="597">
        <f t="shared" ref="F4487:G4487" si="3531">E4487*1.1</f>
        <v>4400000</v>
      </c>
      <c r="G4487" s="597">
        <f t="shared" si="3531"/>
        <v>4840000</v>
      </c>
    </row>
    <row r="4488" spans="1:8" s="301" customFormat="1" ht="30" outlineLevel="3">
      <c r="A4488" s="600"/>
      <c r="B4488" s="600"/>
      <c r="C4488" s="437">
        <v>3110599</v>
      </c>
      <c r="D4488" s="702" t="s">
        <v>1209</v>
      </c>
      <c r="E4488" s="496">
        <v>3000000</v>
      </c>
      <c r="F4488" s="597">
        <f t="shared" ref="F4488:G4488" si="3532">E4488*1.1</f>
        <v>3300000.0000000005</v>
      </c>
      <c r="G4488" s="597">
        <f t="shared" si="3532"/>
        <v>3630000.0000000009</v>
      </c>
      <c r="H4488" s="132"/>
    </row>
    <row r="4489" spans="1:8" s="301" customFormat="1" outlineLevel="2">
      <c r="A4489" s="328"/>
      <c r="B4489" s="328"/>
      <c r="C4489" s="443"/>
      <c r="D4489" s="490" t="s">
        <v>201</v>
      </c>
      <c r="E4489" s="626">
        <f>E4486+E4484</f>
        <v>9000000</v>
      </c>
      <c r="F4489" s="597">
        <f t="shared" ref="F4489:G4489" si="3533">E4489*1.1</f>
        <v>9900000</v>
      </c>
      <c r="G4489" s="597">
        <f t="shared" si="3533"/>
        <v>10890000</v>
      </c>
      <c r="H4489" s="132"/>
    </row>
    <row r="4490" spans="1:8" outlineLevel="1">
      <c r="A4490" s="600"/>
      <c r="B4490" s="600"/>
      <c r="C4490" s="443"/>
      <c r="D4490" s="490" t="s">
        <v>924</v>
      </c>
      <c r="E4490" s="626">
        <f>E4489+E4481</f>
        <v>16649575</v>
      </c>
      <c r="F4490" s="597">
        <f t="shared" ref="F4490:G4490" si="3534">E4490*1.1</f>
        <v>18314532.5</v>
      </c>
      <c r="G4490" s="597">
        <f t="shared" si="3534"/>
        <v>20145985.75</v>
      </c>
    </row>
    <row r="4491" spans="1:8" outlineLevel="1">
      <c r="A4491" s="600"/>
      <c r="B4491" s="600"/>
      <c r="C4491" s="443"/>
      <c r="D4491" s="494"/>
      <c r="E4491" s="496">
        <v>0</v>
      </c>
      <c r="F4491" s="597">
        <f t="shared" ref="F4491:G4491" si="3535">E4491*1.1</f>
        <v>0</v>
      </c>
      <c r="G4491" s="597">
        <f t="shared" si="3535"/>
        <v>0</v>
      </c>
    </row>
    <row r="4492" spans="1:8" s="306" customFormat="1" outlineLevel="1">
      <c r="A4492" s="624" t="s">
        <v>430</v>
      </c>
      <c r="B4492" s="624" t="s">
        <v>1210</v>
      </c>
      <c r="C4492" s="438" t="s">
        <v>1211</v>
      </c>
      <c r="D4492" s="487"/>
      <c r="E4492" s="678">
        <v>0</v>
      </c>
      <c r="F4492" s="597">
        <f t="shared" ref="F4492:G4492" si="3536">E4492*1.1</f>
        <v>0</v>
      </c>
      <c r="G4492" s="597">
        <f t="shared" si="3536"/>
        <v>0</v>
      </c>
      <c r="H4492" s="132"/>
    </row>
    <row r="4493" spans="1:8" outlineLevel="3">
      <c r="A4493" s="600"/>
      <c r="B4493" s="600"/>
      <c r="C4493" s="443">
        <v>2210700</v>
      </c>
      <c r="D4493" s="492" t="s">
        <v>34</v>
      </c>
      <c r="E4493" s="493">
        <f>E4494+E4495+E4496</f>
        <v>230000</v>
      </c>
      <c r="F4493" s="597">
        <f t="shared" ref="F4493:G4493" si="3537">E4493*1.1</f>
        <v>253000.00000000003</v>
      </c>
      <c r="G4493" s="597">
        <f t="shared" si="3537"/>
        <v>278300.00000000006</v>
      </c>
    </row>
    <row r="4494" spans="1:8" outlineLevel="3">
      <c r="A4494" s="600"/>
      <c r="B4494" s="600"/>
      <c r="C4494" s="437">
        <v>2210701</v>
      </c>
      <c r="D4494" s="494" t="s">
        <v>35</v>
      </c>
      <c r="E4494" s="496">
        <v>87000</v>
      </c>
      <c r="F4494" s="597">
        <f t="shared" ref="F4494:G4494" si="3538">E4494*1.1</f>
        <v>95700.000000000015</v>
      </c>
      <c r="G4494" s="597">
        <f t="shared" si="3538"/>
        <v>105270.00000000003</v>
      </c>
    </row>
    <row r="4495" spans="1:8" outlineLevel="3">
      <c r="A4495" s="600"/>
      <c r="B4495" s="600"/>
      <c r="C4495" s="437">
        <v>2210710</v>
      </c>
      <c r="D4495" s="494" t="s">
        <v>1212</v>
      </c>
      <c r="E4495" s="496">
        <v>79000</v>
      </c>
      <c r="F4495" s="597">
        <f t="shared" ref="F4495:G4495" si="3539">E4495*1.1</f>
        <v>86900</v>
      </c>
      <c r="G4495" s="597">
        <f t="shared" si="3539"/>
        <v>95590.000000000015</v>
      </c>
    </row>
    <row r="4496" spans="1:8" outlineLevel="3">
      <c r="A4496" s="600"/>
      <c r="B4496" s="600"/>
      <c r="C4496" s="437">
        <v>2210711</v>
      </c>
      <c r="D4496" s="494" t="s">
        <v>1213</v>
      </c>
      <c r="E4496" s="496">
        <v>64000</v>
      </c>
      <c r="F4496" s="597">
        <f t="shared" ref="F4496:G4496" si="3540">E4496*1.1</f>
        <v>70400</v>
      </c>
      <c r="G4496" s="597">
        <f t="shared" si="3540"/>
        <v>77440</v>
      </c>
    </row>
    <row r="4497" spans="1:8" outlineLevel="3">
      <c r="A4497" s="600"/>
      <c r="B4497" s="600"/>
      <c r="C4497" s="443">
        <v>2210800</v>
      </c>
      <c r="D4497" s="492" t="s">
        <v>41</v>
      </c>
      <c r="E4497" s="493">
        <f>E4499+E4498</f>
        <v>200000</v>
      </c>
      <c r="F4497" s="597">
        <f t="shared" ref="F4497:G4497" si="3541">E4497*1.1</f>
        <v>220000.00000000003</v>
      </c>
      <c r="G4497" s="597">
        <f t="shared" si="3541"/>
        <v>242000.00000000006</v>
      </c>
    </row>
    <row r="4498" spans="1:8" outlineLevel="3">
      <c r="A4498" s="600"/>
      <c r="B4498" s="600"/>
      <c r="C4498" s="437">
        <v>2210801</v>
      </c>
      <c r="D4498" s="494" t="s">
        <v>1181</v>
      </c>
      <c r="E4498" s="496">
        <v>100000</v>
      </c>
      <c r="F4498" s="597">
        <f t="shared" ref="F4498:G4498" si="3542">E4498*1.1</f>
        <v>110000.00000000001</v>
      </c>
      <c r="G4498" s="597">
        <f t="shared" si="3542"/>
        <v>121000.00000000003</v>
      </c>
    </row>
    <row r="4499" spans="1:8" s="301" customFormat="1" outlineLevel="3">
      <c r="A4499" s="600"/>
      <c r="B4499" s="600"/>
      <c r="C4499" s="437">
        <v>2210802</v>
      </c>
      <c r="D4499" s="494" t="s">
        <v>86</v>
      </c>
      <c r="E4499" s="496">
        <v>100000</v>
      </c>
      <c r="F4499" s="597">
        <f t="shared" ref="F4499:G4499" si="3543">E4499*1.1</f>
        <v>110000.00000000001</v>
      </c>
      <c r="G4499" s="597">
        <f t="shared" si="3543"/>
        <v>121000.00000000003</v>
      </c>
      <c r="H4499" s="132"/>
    </row>
    <row r="4500" spans="1:8" outlineLevel="3" collapsed="1">
      <c r="A4500" s="600"/>
      <c r="B4500" s="600"/>
      <c r="C4500" s="443">
        <v>2220200</v>
      </c>
      <c r="D4500" s="492" t="s">
        <v>179</v>
      </c>
      <c r="E4500" s="493">
        <f>E4501</f>
        <v>250000</v>
      </c>
      <c r="F4500" s="597">
        <f t="shared" ref="F4500:G4500" si="3544">E4500*1.1</f>
        <v>275000</v>
      </c>
      <c r="G4500" s="597">
        <f t="shared" si="3544"/>
        <v>302500</v>
      </c>
    </row>
    <row r="4501" spans="1:8" s="301" customFormat="1" outlineLevel="3">
      <c r="A4501" s="600"/>
      <c r="B4501" s="600"/>
      <c r="C4501" s="437">
        <v>2220201</v>
      </c>
      <c r="D4501" s="494" t="s">
        <v>476</v>
      </c>
      <c r="E4501" s="496">
        <v>250000</v>
      </c>
      <c r="F4501" s="597">
        <f t="shared" ref="F4501:G4501" si="3545">E4501*1.1</f>
        <v>275000</v>
      </c>
      <c r="G4501" s="597">
        <f t="shared" si="3545"/>
        <v>302500</v>
      </c>
      <c r="H4501" s="132"/>
    </row>
    <row r="4502" spans="1:8" s="301" customFormat="1" outlineLevel="3">
      <c r="A4502" s="600"/>
      <c r="B4502" s="600"/>
      <c r="C4502" s="484"/>
      <c r="D4502" s="490" t="s">
        <v>1206</v>
      </c>
      <c r="E4502" s="626">
        <f>E4500+E4497+E4493</f>
        <v>680000</v>
      </c>
      <c r="F4502" s="597">
        <f t="shared" ref="F4502:G4502" si="3546">E4502*1.1</f>
        <v>748000.00000000012</v>
      </c>
      <c r="G4502" s="597">
        <f t="shared" si="3546"/>
        <v>822800.00000000023</v>
      </c>
      <c r="H4502" s="132"/>
    </row>
    <row r="4503" spans="1:8" outlineLevel="2">
      <c r="A4503" s="600"/>
      <c r="B4503" s="600"/>
      <c r="C4503" s="443"/>
      <c r="D4503" s="490" t="s">
        <v>183</v>
      </c>
      <c r="E4503" s="626">
        <f>E4502</f>
        <v>680000</v>
      </c>
      <c r="F4503" s="597">
        <f t="shared" ref="F4503:G4503" si="3547">E4503*1.1</f>
        <v>748000.00000000012</v>
      </c>
      <c r="G4503" s="597">
        <f t="shared" si="3547"/>
        <v>822800.00000000023</v>
      </c>
    </row>
    <row r="4504" spans="1:8" outlineLevel="2">
      <c r="A4504" s="600"/>
      <c r="B4504" s="600"/>
      <c r="C4504" s="443"/>
      <c r="D4504" s="490"/>
      <c r="E4504" s="626"/>
      <c r="F4504" s="597">
        <f t="shared" ref="F4504:G4504" si="3548">E4504*1.1</f>
        <v>0</v>
      </c>
      <c r="G4504" s="597">
        <f t="shared" si="3548"/>
        <v>0</v>
      </c>
    </row>
    <row r="4505" spans="1:8" outlineLevel="2">
      <c r="A4505" s="600"/>
      <c r="B4505" s="600"/>
      <c r="C4505" s="437"/>
      <c r="D4505" s="492" t="s">
        <v>184</v>
      </c>
      <c r="E4505" s="496">
        <v>0</v>
      </c>
      <c r="F4505" s="597">
        <f t="shared" ref="F4505:G4505" si="3549">E4505*1.1</f>
        <v>0</v>
      </c>
      <c r="G4505" s="597">
        <f t="shared" si="3549"/>
        <v>0</v>
      </c>
    </row>
    <row r="4506" spans="1:8" outlineLevel="3">
      <c r="A4506" s="600"/>
      <c r="B4506" s="600"/>
      <c r="C4506" s="443">
        <v>3110500</v>
      </c>
      <c r="D4506" s="492" t="s">
        <v>1194</v>
      </c>
      <c r="E4506" s="493">
        <f>E4507</f>
        <v>3500000</v>
      </c>
      <c r="F4506" s="597">
        <f t="shared" ref="F4506:G4506" si="3550">E4506*1.1</f>
        <v>3850000.0000000005</v>
      </c>
      <c r="G4506" s="597">
        <f t="shared" si="3550"/>
        <v>4235000.0000000009</v>
      </c>
    </row>
    <row r="4507" spans="1:8" ht="30" outlineLevel="3">
      <c r="A4507" s="600"/>
      <c r="B4507" s="600"/>
      <c r="C4507" s="437">
        <v>3110599</v>
      </c>
      <c r="D4507" s="494" t="s">
        <v>1214</v>
      </c>
      <c r="E4507" s="496">
        <v>3500000</v>
      </c>
      <c r="F4507" s="597">
        <f t="shared" ref="F4507:G4507" si="3551">E4507*1.1</f>
        <v>3850000.0000000005</v>
      </c>
      <c r="G4507" s="597">
        <f t="shared" si="3551"/>
        <v>4235000.0000000009</v>
      </c>
    </row>
    <row r="4508" spans="1:8" outlineLevel="2">
      <c r="A4508" s="600"/>
      <c r="B4508" s="600"/>
      <c r="C4508" s="437"/>
      <c r="D4508" s="490" t="s">
        <v>201</v>
      </c>
      <c r="E4508" s="679">
        <f>E4506</f>
        <v>3500000</v>
      </c>
      <c r="F4508" s="597">
        <f t="shared" ref="F4508:G4508" si="3552">E4508*1.1</f>
        <v>3850000.0000000005</v>
      </c>
      <c r="G4508" s="597">
        <f t="shared" si="3552"/>
        <v>4235000.0000000009</v>
      </c>
    </row>
    <row r="4509" spans="1:8" outlineLevel="1">
      <c r="A4509" s="600"/>
      <c r="B4509" s="600"/>
      <c r="C4509" s="437"/>
      <c r="D4509" s="490" t="s">
        <v>924</v>
      </c>
      <c r="E4509" s="679">
        <f>E4508+E4503</f>
        <v>4180000</v>
      </c>
      <c r="F4509" s="597">
        <f t="shared" ref="F4509:G4509" si="3553">E4509*1.1</f>
        <v>4598000</v>
      </c>
      <c r="G4509" s="597">
        <f t="shared" si="3553"/>
        <v>5057800</v>
      </c>
    </row>
    <row r="4510" spans="1:8" outlineLevel="1">
      <c r="A4510" s="600"/>
      <c r="B4510" s="600"/>
      <c r="C4510" s="443"/>
      <c r="D4510" s="490"/>
      <c r="E4510" s="626"/>
      <c r="F4510" s="597">
        <f t="shared" ref="F4510:G4510" si="3554">E4510*1.1</f>
        <v>0</v>
      </c>
      <c r="G4510" s="597">
        <f t="shared" si="3554"/>
        <v>0</v>
      </c>
    </row>
    <row r="4511" spans="1:8" s="306" customFormat="1" outlineLevel="1">
      <c r="A4511" s="624" t="s">
        <v>430</v>
      </c>
      <c r="B4511" s="624" t="s">
        <v>98</v>
      </c>
      <c r="C4511" s="438" t="s">
        <v>1215</v>
      </c>
      <c r="D4511" s="487"/>
      <c r="E4511" s="678">
        <v>0</v>
      </c>
      <c r="F4511" s="597">
        <f t="shared" ref="F4511:G4511" si="3555">E4511*1.1</f>
        <v>0</v>
      </c>
      <c r="G4511" s="597">
        <f t="shared" si="3555"/>
        <v>0</v>
      </c>
      <c r="H4511" s="132"/>
    </row>
    <row r="4512" spans="1:8" outlineLevel="3">
      <c r="A4512" s="600"/>
      <c r="B4512" s="600"/>
      <c r="C4512" s="443">
        <v>2210700</v>
      </c>
      <c r="D4512" s="492" t="s">
        <v>34</v>
      </c>
      <c r="E4512" s="493">
        <f>E4513+E4514+E4515</f>
        <v>180000</v>
      </c>
      <c r="F4512" s="597">
        <f t="shared" ref="F4512:G4512" si="3556">E4512*1.1</f>
        <v>198000.00000000003</v>
      </c>
      <c r="G4512" s="597">
        <f t="shared" si="3556"/>
        <v>217800.00000000006</v>
      </c>
    </row>
    <row r="4513" spans="1:8" outlineLevel="3">
      <c r="A4513" s="600"/>
      <c r="B4513" s="600"/>
      <c r="C4513" s="437">
        <v>2210701</v>
      </c>
      <c r="D4513" s="494" t="s">
        <v>35</v>
      </c>
      <c r="E4513" s="496">
        <v>80000</v>
      </c>
      <c r="F4513" s="597">
        <f t="shared" ref="F4513:G4513" si="3557">E4513*1.1</f>
        <v>88000</v>
      </c>
      <c r="G4513" s="597">
        <f t="shared" si="3557"/>
        <v>96800.000000000015</v>
      </c>
    </row>
    <row r="4514" spans="1:8" outlineLevel="3">
      <c r="A4514" s="600"/>
      <c r="B4514" s="600"/>
      <c r="C4514" s="437">
        <v>2210710</v>
      </c>
      <c r="D4514" s="494" t="s">
        <v>1212</v>
      </c>
      <c r="E4514" s="496">
        <v>50000</v>
      </c>
      <c r="F4514" s="597">
        <f t="shared" ref="F4514:G4514" si="3558">E4514*1.1</f>
        <v>55000.000000000007</v>
      </c>
      <c r="G4514" s="597">
        <f t="shared" si="3558"/>
        <v>60500.000000000015</v>
      </c>
    </row>
    <row r="4515" spans="1:8" outlineLevel="3">
      <c r="A4515" s="600"/>
      <c r="B4515" s="600"/>
      <c r="C4515" s="437">
        <v>2210711</v>
      </c>
      <c r="D4515" s="494" t="s">
        <v>167</v>
      </c>
      <c r="E4515" s="496">
        <v>50000</v>
      </c>
      <c r="F4515" s="597">
        <f t="shared" ref="F4515:G4515" si="3559">E4515*1.1</f>
        <v>55000.000000000007</v>
      </c>
      <c r="G4515" s="597">
        <f t="shared" si="3559"/>
        <v>60500.000000000015</v>
      </c>
    </row>
    <row r="4516" spans="1:8" s="301" customFormat="1" outlineLevel="3">
      <c r="A4516" s="600"/>
      <c r="B4516" s="600"/>
      <c r="C4516" s="484"/>
      <c r="D4516" s="490" t="s">
        <v>1206</v>
      </c>
      <c r="E4516" s="626">
        <f>E4512</f>
        <v>180000</v>
      </c>
      <c r="F4516" s="597">
        <f t="shared" ref="F4516:G4516" si="3560">E4516*1.1</f>
        <v>198000.00000000003</v>
      </c>
      <c r="G4516" s="597">
        <f t="shared" si="3560"/>
        <v>217800.00000000006</v>
      </c>
      <c r="H4516" s="132"/>
    </row>
    <row r="4517" spans="1:8" outlineLevel="2">
      <c r="A4517" s="600"/>
      <c r="B4517" s="600"/>
      <c r="C4517" s="443"/>
      <c r="D4517" s="490" t="s">
        <v>101</v>
      </c>
      <c r="E4517" s="626">
        <f>E4516</f>
        <v>180000</v>
      </c>
      <c r="F4517" s="597">
        <f t="shared" ref="F4517:G4517" si="3561">E4517*1.1</f>
        <v>198000.00000000003</v>
      </c>
      <c r="G4517" s="597">
        <f t="shared" si="3561"/>
        <v>217800.00000000006</v>
      </c>
    </row>
    <row r="4518" spans="1:8" outlineLevel="2">
      <c r="A4518" s="600"/>
      <c r="B4518" s="600"/>
      <c r="C4518" s="437"/>
      <c r="D4518" s="492"/>
      <c r="E4518" s="496">
        <v>0</v>
      </c>
      <c r="F4518" s="597">
        <f t="shared" ref="F4518:G4518" si="3562">E4518*1.1</f>
        <v>0</v>
      </c>
      <c r="G4518" s="597">
        <f t="shared" si="3562"/>
        <v>0</v>
      </c>
    </row>
    <row r="4519" spans="1:8" s="306" customFormat="1" outlineLevel="2">
      <c r="A4519" s="624"/>
      <c r="B4519" s="624"/>
      <c r="C4519" s="478"/>
      <c r="D4519" s="490" t="s">
        <v>184</v>
      </c>
      <c r="E4519" s="678">
        <v>0</v>
      </c>
      <c r="F4519" s="597">
        <f t="shared" ref="F4519:G4519" si="3563">E4519*1.1</f>
        <v>0</v>
      </c>
      <c r="G4519" s="597">
        <f t="shared" si="3563"/>
        <v>0</v>
      </c>
      <c r="H4519" s="132"/>
    </row>
    <row r="4520" spans="1:8" outlineLevel="3">
      <c r="A4520" s="600"/>
      <c r="B4520" s="600"/>
      <c r="C4520" s="443">
        <v>3110500</v>
      </c>
      <c r="D4520" s="492" t="s">
        <v>1194</v>
      </c>
      <c r="E4520" s="493">
        <f>E4521</f>
        <v>2000000</v>
      </c>
      <c r="F4520" s="597">
        <f t="shared" ref="F4520:G4520" si="3564">E4520*1.1</f>
        <v>2200000</v>
      </c>
      <c r="G4520" s="597">
        <f t="shared" si="3564"/>
        <v>2420000</v>
      </c>
    </row>
    <row r="4521" spans="1:8" s="301" customFormat="1" ht="30" outlineLevel="3">
      <c r="A4521" s="600"/>
      <c r="B4521" s="600"/>
      <c r="C4521" s="437">
        <v>3110599</v>
      </c>
      <c r="D4521" s="494" t="s">
        <v>1216</v>
      </c>
      <c r="E4521" s="496">
        <v>2000000</v>
      </c>
      <c r="F4521" s="597">
        <f t="shared" ref="F4521:G4521" si="3565">E4521*1.1</f>
        <v>2200000</v>
      </c>
      <c r="G4521" s="597">
        <f t="shared" si="3565"/>
        <v>2420000</v>
      </c>
      <c r="H4521" s="132"/>
    </row>
    <row r="4522" spans="1:8" s="301" customFormat="1" outlineLevel="2">
      <c r="A4522" s="328"/>
      <c r="B4522" s="328"/>
      <c r="C4522" s="443"/>
      <c r="D4522" s="490" t="s">
        <v>201</v>
      </c>
      <c r="E4522" s="626">
        <f>E4520</f>
        <v>2000000</v>
      </c>
      <c r="F4522" s="597">
        <f t="shared" ref="F4522:G4522" si="3566">E4522*1.1</f>
        <v>2200000</v>
      </c>
      <c r="G4522" s="597">
        <f t="shared" si="3566"/>
        <v>2420000</v>
      </c>
      <c r="H4522" s="132"/>
    </row>
    <row r="4523" spans="1:8" outlineLevel="1">
      <c r="A4523" s="324"/>
      <c r="B4523" s="324"/>
      <c r="C4523" s="443"/>
      <c r="D4523" s="490" t="s">
        <v>924</v>
      </c>
      <c r="E4523" s="626">
        <f>E4522+E4517</f>
        <v>2180000</v>
      </c>
      <c r="F4523" s="597">
        <f t="shared" ref="F4523:G4523" si="3567">E4523*1.1</f>
        <v>2398000</v>
      </c>
      <c r="G4523" s="597">
        <f t="shared" si="3567"/>
        <v>2637800</v>
      </c>
    </row>
    <row r="4524" spans="1:8" outlineLevel="1">
      <c r="A4524" s="600"/>
      <c r="B4524" s="600"/>
      <c r="C4524" s="437"/>
      <c r="D4524" s="494"/>
      <c r="E4524" s="496">
        <v>0</v>
      </c>
      <c r="F4524" s="597">
        <f t="shared" ref="F4524:G4524" si="3568">E4524*1.1</f>
        <v>0</v>
      </c>
      <c r="G4524" s="597">
        <f t="shared" si="3568"/>
        <v>0</v>
      </c>
    </row>
    <row r="4525" spans="1:8" s="294" customFormat="1" outlineLevel="1">
      <c r="A4525" s="624" t="s">
        <v>576</v>
      </c>
      <c r="B4525" s="624"/>
      <c r="C4525" s="438" t="s">
        <v>1217</v>
      </c>
      <c r="D4525" s="487"/>
      <c r="E4525" s="678">
        <v>0</v>
      </c>
      <c r="F4525" s="597">
        <f t="shared" ref="F4525:G4525" si="3569">E4525*1.1</f>
        <v>0</v>
      </c>
      <c r="G4525" s="597">
        <f t="shared" si="3569"/>
        <v>0</v>
      </c>
      <c r="H4525" s="132"/>
    </row>
    <row r="4526" spans="1:8" s="306" customFormat="1" outlineLevel="1">
      <c r="A4526" s="624"/>
      <c r="B4526" s="624" t="s">
        <v>98</v>
      </c>
      <c r="C4526" s="438" t="s">
        <v>1218</v>
      </c>
      <c r="D4526" s="487"/>
      <c r="E4526" s="678">
        <v>0</v>
      </c>
      <c r="F4526" s="597">
        <f t="shared" ref="F4526:G4526" si="3570">E4526*1.1</f>
        <v>0</v>
      </c>
      <c r="G4526" s="597">
        <f t="shared" si="3570"/>
        <v>0</v>
      </c>
      <c r="H4526" s="132"/>
    </row>
    <row r="4527" spans="1:8" outlineLevel="3">
      <c r="A4527" s="600"/>
      <c r="B4527" s="600"/>
      <c r="C4527" s="443">
        <v>2210300</v>
      </c>
      <c r="D4527" s="492" t="s">
        <v>1178</v>
      </c>
      <c r="E4527" s="493">
        <f>E4528+E4529+E4530</f>
        <v>331990</v>
      </c>
      <c r="F4527" s="597">
        <f t="shared" ref="F4527:G4527" si="3571">E4527*1.1</f>
        <v>365189.00000000006</v>
      </c>
      <c r="G4527" s="597">
        <f t="shared" si="3571"/>
        <v>401707.90000000008</v>
      </c>
    </row>
    <row r="4528" spans="1:8" outlineLevel="3">
      <c r="A4528" s="600"/>
      <c r="B4528" s="600"/>
      <c r="C4528" s="437">
        <v>2210301</v>
      </c>
      <c r="D4528" s="494" t="s">
        <v>208</v>
      </c>
      <c r="E4528" s="496">
        <v>116000</v>
      </c>
      <c r="F4528" s="597">
        <f t="shared" ref="F4528:G4528" si="3572">E4528*1.1</f>
        <v>127600.00000000001</v>
      </c>
      <c r="G4528" s="597">
        <f t="shared" si="3572"/>
        <v>140360.00000000003</v>
      </c>
    </row>
    <row r="4529" spans="1:8" outlineLevel="3">
      <c r="A4529" s="600"/>
      <c r="B4529" s="600"/>
      <c r="C4529" s="437">
        <v>2210302</v>
      </c>
      <c r="D4529" s="494" t="s">
        <v>25</v>
      </c>
      <c r="E4529" s="496">
        <v>110000</v>
      </c>
      <c r="F4529" s="597">
        <f t="shared" ref="F4529:G4529" si="3573">E4529*1.1</f>
        <v>121000.00000000001</v>
      </c>
      <c r="G4529" s="597">
        <f t="shared" si="3573"/>
        <v>133100.00000000003</v>
      </c>
    </row>
    <row r="4530" spans="1:8" s="301" customFormat="1" outlineLevel="3">
      <c r="A4530" s="600"/>
      <c r="B4530" s="600"/>
      <c r="C4530" s="437">
        <v>2210303</v>
      </c>
      <c r="D4530" s="494" t="s">
        <v>259</v>
      </c>
      <c r="E4530" s="496">
        <v>105990</v>
      </c>
      <c r="F4530" s="597">
        <f t="shared" ref="F4530:G4530" si="3574">E4530*1.1</f>
        <v>116589.00000000001</v>
      </c>
      <c r="G4530" s="597">
        <f t="shared" si="3574"/>
        <v>128247.90000000002</v>
      </c>
      <c r="H4530" s="132"/>
    </row>
    <row r="4531" spans="1:8" outlineLevel="3">
      <c r="A4531" s="600"/>
      <c r="B4531" s="600"/>
      <c r="C4531" s="443">
        <v>2210700</v>
      </c>
      <c r="D4531" s="492" t="s">
        <v>34</v>
      </c>
      <c r="E4531" s="493">
        <f>SUM(E4532:E4534)</f>
        <v>457100</v>
      </c>
      <c r="F4531" s="597">
        <f t="shared" ref="F4531:G4531" si="3575">E4531*1.1</f>
        <v>502810.00000000006</v>
      </c>
      <c r="G4531" s="597">
        <f t="shared" si="3575"/>
        <v>553091.00000000012</v>
      </c>
    </row>
    <row r="4532" spans="1:8" outlineLevel="3">
      <c r="A4532" s="600"/>
      <c r="B4532" s="600"/>
      <c r="C4532" s="437">
        <v>2210701</v>
      </c>
      <c r="D4532" s="494" t="s">
        <v>35</v>
      </c>
      <c r="E4532" s="496">
        <v>184100</v>
      </c>
      <c r="F4532" s="597">
        <f t="shared" ref="F4532:G4532" si="3576">E4532*1.1</f>
        <v>202510.00000000003</v>
      </c>
      <c r="G4532" s="597">
        <f t="shared" si="3576"/>
        <v>222761.00000000006</v>
      </c>
    </row>
    <row r="4533" spans="1:8" outlineLevel="3">
      <c r="A4533" s="600"/>
      <c r="B4533" s="600"/>
      <c r="C4533" s="437">
        <v>2210710</v>
      </c>
      <c r="D4533" s="494" t="s">
        <v>38</v>
      </c>
      <c r="E4533" s="496">
        <v>155000</v>
      </c>
      <c r="F4533" s="597">
        <f t="shared" ref="F4533:G4533" si="3577">E4533*1.1</f>
        <v>170500</v>
      </c>
      <c r="G4533" s="597">
        <f t="shared" si="3577"/>
        <v>187550.00000000003</v>
      </c>
    </row>
    <row r="4534" spans="1:8" outlineLevel="3">
      <c r="A4534" s="600"/>
      <c r="B4534" s="600"/>
      <c r="C4534" s="437">
        <v>2210711</v>
      </c>
      <c r="D4534" s="494" t="s">
        <v>167</v>
      </c>
      <c r="E4534" s="496">
        <v>118000</v>
      </c>
      <c r="F4534" s="597">
        <f t="shared" ref="F4534:G4534" si="3578">E4534*1.1</f>
        <v>129800.00000000001</v>
      </c>
      <c r="G4534" s="597">
        <f t="shared" si="3578"/>
        <v>142780.00000000003</v>
      </c>
    </row>
    <row r="4535" spans="1:8" outlineLevel="3">
      <c r="A4535" s="600"/>
      <c r="B4535" s="600"/>
      <c r="C4535" s="443">
        <v>2210800</v>
      </c>
      <c r="D4535" s="492" t="s">
        <v>41</v>
      </c>
      <c r="E4535" s="493">
        <f>E4536+E4537</f>
        <v>200000</v>
      </c>
      <c r="F4535" s="597">
        <f t="shared" ref="F4535:G4535" si="3579">E4535*1.1</f>
        <v>220000.00000000003</v>
      </c>
      <c r="G4535" s="597">
        <f t="shared" si="3579"/>
        <v>242000.00000000006</v>
      </c>
    </row>
    <row r="4536" spans="1:8" outlineLevel="3">
      <c r="A4536" s="600"/>
      <c r="B4536" s="600"/>
      <c r="C4536" s="437">
        <v>2210801</v>
      </c>
      <c r="D4536" s="494" t="s">
        <v>1181</v>
      </c>
      <c r="E4536" s="496">
        <v>100000</v>
      </c>
      <c r="F4536" s="597">
        <f t="shared" ref="F4536:G4536" si="3580">E4536*1.1</f>
        <v>110000.00000000001</v>
      </c>
      <c r="G4536" s="597">
        <f t="shared" si="3580"/>
        <v>121000.00000000003</v>
      </c>
    </row>
    <row r="4537" spans="1:8" s="301" customFormat="1" outlineLevel="3">
      <c r="A4537" s="600"/>
      <c r="B4537" s="600"/>
      <c r="C4537" s="437">
        <v>2210802</v>
      </c>
      <c r="D4537" s="494" t="s">
        <v>86</v>
      </c>
      <c r="E4537" s="496">
        <v>100000</v>
      </c>
      <c r="F4537" s="597">
        <f t="shared" ref="F4537:G4537" si="3581">E4537*1.1</f>
        <v>110000.00000000001</v>
      </c>
      <c r="G4537" s="597">
        <f t="shared" si="3581"/>
        <v>121000.00000000003</v>
      </c>
      <c r="H4537" s="132"/>
    </row>
    <row r="4538" spans="1:8" outlineLevel="3">
      <c r="A4538" s="600"/>
      <c r="B4538" s="600"/>
      <c r="C4538" s="443">
        <v>2211000</v>
      </c>
      <c r="D4538" s="492" t="s">
        <v>173</v>
      </c>
      <c r="E4538" s="493">
        <f>E4539</f>
        <v>500000</v>
      </c>
      <c r="F4538" s="597">
        <f t="shared" ref="F4538:G4538" si="3582">E4538*1.1</f>
        <v>550000</v>
      </c>
      <c r="G4538" s="597">
        <f t="shared" si="3582"/>
        <v>605000</v>
      </c>
    </row>
    <row r="4539" spans="1:8" s="301" customFormat="1" outlineLevel="3">
      <c r="A4539" s="600"/>
      <c r="B4539" s="600"/>
      <c r="C4539" s="437">
        <v>2211006</v>
      </c>
      <c r="D4539" s="494" t="s">
        <v>1219</v>
      </c>
      <c r="E4539" s="496">
        <v>500000</v>
      </c>
      <c r="F4539" s="597">
        <f t="shared" ref="F4539:G4539" si="3583">E4539*1.1</f>
        <v>550000</v>
      </c>
      <c r="G4539" s="597">
        <f t="shared" si="3583"/>
        <v>605000</v>
      </c>
      <c r="H4539" s="132"/>
    </row>
    <row r="4540" spans="1:8" outlineLevel="3">
      <c r="A4540" s="600"/>
      <c r="B4540" s="600"/>
      <c r="C4540" s="443">
        <v>2220200</v>
      </c>
      <c r="D4540" s="492" t="s">
        <v>179</v>
      </c>
      <c r="E4540" s="493">
        <f>E4541</f>
        <v>245000</v>
      </c>
      <c r="F4540" s="597">
        <f t="shared" ref="F4540:G4540" si="3584">E4540*1.1</f>
        <v>269500</v>
      </c>
      <c r="G4540" s="597">
        <f t="shared" si="3584"/>
        <v>296450</v>
      </c>
    </row>
    <row r="4541" spans="1:8" s="301" customFormat="1" outlineLevel="3">
      <c r="A4541" s="600"/>
      <c r="B4541" s="600"/>
      <c r="C4541" s="437">
        <v>2220201</v>
      </c>
      <c r="D4541" s="494" t="s">
        <v>476</v>
      </c>
      <c r="E4541" s="496">
        <v>245000</v>
      </c>
      <c r="F4541" s="597">
        <f t="shared" ref="F4541:G4541" si="3585">E4541*1.1</f>
        <v>269500</v>
      </c>
      <c r="G4541" s="597">
        <f t="shared" si="3585"/>
        <v>296450</v>
      </c>
      <c r="H4541" s="132"/>
    </row>
    <row r="4542" spans="1:8" s="301" customFormat="1" outlineLevel="3">
      <c r="A4542" s="600"/>
      <c r="B4542" s="600"/>
      <c r="C4542" s="484"/>
      <c r="D4542" s="490" t="s">
        <v>1206</v>
      </c>
      <c r="E4542" s="626">
        <f>E4540+E4538+E4535+E4531+E4527</f>
        <v>1734090</v>
      </c>
      <c r="F4542" s="597">
        <f t="shared" ref="F4542:G4542" si="3586">E4542*1.1</f>
        <v>1907499.0000000002</v>
      </c>
      <c r="G4542" s="597">
        <f t="shared" si="3586"/>
        <v>2098248.9000000004</v>
      </c>
      <c r="H4542" s="132"/>
    </row>
    <row r="4543" spans="1:8" outlineLevel="2">
      <c r="A4543" s="600"/>
      <c r="B4543" s="600"/>
      <c r="C4543" s="443"/>
      <c r="D4543" s="490" t="s">
        <v>101</v>
      </c>
      <c r="E4543" s="626">
        <f>E4542</f>
        <v>1734090</v>
      </c>
      <c r="F4543" s="597">
        <f t="shared" ref="F4543:G4543" si="3587">E4543*1.1</f>
        <v>1907499.0000000002</v>
      </c>
      <c r="G4543" s="597">
        <f t="shared" si="3587"/>
        <v>2098248.9000000004</v>
      </c>
    </row>
    <row r="4544" spans="1:8" outlineLevel="2">
      <c r="A4544" s="600"/>
      <c r="B4544" s="600"/>
      <c r="C4544" s="437"/>
      <c r="D4544" s="492"/>
      <c r="E4544" s="496">
        <v>0</v>
      </c>
      <c r="F4544" s="597">
        <f t="shared" ref="F4544:G4544" si="3588">E4544*1.1</f>
        <v>0</v>
      </c>
      <c r="G4544" s="597">
        <f t="shared" si="3588"/>
        <v>0</v>
      </c>
    </row>
    <row r="4545" spans="1:8" s="301" customFormat="1" outlineLevel="2">
      <c r="A4545" s="600"/>
      <c r="B4545" s="600"/>
      <c r="C4545" s="437"/>
      <c r="D4545" s="490" t="s">
        <v>184</v>
      </c>
      <c r="E4545" s="496">
        <v>0</v>
      </c>
      <c r="F4545" s="597">
        <f t="shared" ref="F4545:G4545" si="3589">E4545*1.1</f>
        <v>0</v>
      </c>
      <c r="G4545" s="597">
        <f t="shared" si="3589"/>
        <v>0</v>
      </c>
      <c r="H4545" s="132"/>
    </row>
    <row r="4546" spans="1:8" outlineLevel="3">
      <c r="A4546" s="600"/>
      <c r="B4546" s="600"/>
      <c r="C4546" s="443">
        <v>3110500</v>
      </c>
      <c r="D4546" s="492" t="s">
        <v>1194</v>
      </c>
      <c r="E4546" s="493">
        <f>E4547+E4548</f>
        <v>3000000</v>
      </c>
      <c r="F4546" s="597">
        <f t="shared" ref="F4546:G4546" si="3590">E4546*1.1</f>
        <v>3300000.0000000005</v>
      </c>
      <c r="G4546" s="597">
        <f t="shared" si="3590"/>
        <v>3630000.0000000009</v>
      </c>
    </row>
    <row r="4547" spans="1:8" ht="30" outlineLevel="3">
      <c r="A4547" s="600"/>
      <c r="B4547" s="600"/>
      <c r="C4547" s="437">
        <v>3110599</v>
      </c>
      <c r="D4547" s="494" t="s">
        <v>1220</v>
      </c>
      <c r="E4547" s="496">
        <v>1500000</v>
      </c>
      <c r="F4547" s="597">
        <f t="shared" ref="F4547:G4547" si="3591">E4547*1.1</f>
        <v>1650000.0000000002</v>
      </c>
      <c r="G4547" s="597">
        <f t="shared" si="3591"/>
        <v>1815000.0000000005</v>
      </c>
    </row>
    <row r="4548" spans="1:8" s="301" customFormat="1" ht="30" outlineLevel="3">
      <c r="A4548" s="600"/>
      <c r="B4548" s="600"/>
      <c r="C4548" s="437">
        <v>3110599</v>
      </c>
      <c r="D4548" s="494" t="s">
        <v>1221</v>
      </c>
      <c r="E4548" s="496">
        <v>1500000</v>
      </c>
      <c r="F4548" s="597">
        <f t="shared" ref="F4548:G4548" si="3592">E4548*1.1</f>
        <v>1650000.0000000002</v>
      </c>
      <c r="G4548" s="597">
        <f t="shared" si="3592"/>
        <v>1815000.0000000005</v>
      </c>
      <c r="H4548" s="132"/>
    </row>
    <row r="4549" spans="1:8" s="301" customFormat="1" outlineLevel="2">
      <c r="A4549" s="600"/>
      <c r="B4549" s="600"/>
      <c r="C4549" s="443"/>
      <c r="D4549" s="490" t="s">
        <v>201</v>
      </c>
      <c r="E4549" s="626">
        <f>E4546</f>
        <v>3000000</v>
      </c>
      <c r="F4549" s="597">
        <f t="shared" ref="F4549:G4549" si="3593">E4549*1.1</f>
        <v>3300000.0000000005</v>
      </c>
      <c r="G4549" s="597">
        <f t="shared" si="3593"/>
        <v>3630000.0000000009</v>
      </c>
      <c r="H4549" s="132"/>
    </row>
    <row r="4550" spans="1:8" outlineLevel="1">
      <c r="A4550" s="324"/>
      <c r="B4550" s="324"/>
      <c r="C4550" s="443"/>
      <c r="D4550" s="490" t="s">
        <v>924</v>
      </c>
      <c r="E4550" s="626">
        <f>E4549+E4543</f>
        <v>4734090</v>
      </c>
      <c r="F4550" s="597">
        <f t="shared" ref="F4550:G4550" si="3594">E4550*1.1</f>
        <v>5207499</v>
      </c>
      <c r="G4550" s="597">
        <f t="shared" si="3594"/>
        <v>5728248.9000000004</v>
      </c>
    </row>
    <row r="4551" spans="1:8" outlineLevel="1">
      <c r="A4551" s="600"/>
      <c r="B4551" s="600"/>
      <c r="C4551" s="437"/>
      <c r="D4551" s="494"/>
      <c r="E4551" s="496">
        <v>0</v>
      </c>
      <c r="F4551" s="597">
        <f t="shared" ref="F4551:G4551" si="3595">E4551*1.1</f>
        <v>0</v>
      </c>
      <c r="G4551" s="597">
        <f t="shared" si="3595"/>
        <v>0</v>
      </c>
    </row>
    <row r="4552" spans="1:8" s="294" customFormat="1" outlineLevel="1">
      <c r="A4552" s="624"/>
      <c r="B4552" s="624"/>
      <c r="C4552" s="438" t="s">
        <v>1222</v>
      </c>
      <c r="D4552" s="487"/>
      <c r="E4552" s="678">
        <v>0</v>
      </c>
      <c r="F4552" s="597">
        <f t="shared" ref="F4552:G4552" si="3596">E4552*1.1</f>
        <v>0</v>
      </c>
      <c r="G4552" s="597">
        <f t="shared" si="3596"/>
        <v>0</v>
      </c>
      <c r="H4552" s="132"/>
    </row>
    <row r="4553" spans="1:8" s="306" customFormat="1" outlineLevel="1">
      <c r="A4553" s="624" t="s">
        <v>576</v>
      </c>
      <c r="B4553" s="624" t="s">
        <v>98</v>
      </c>
      <c r="C4553" s="438" t="s">
        <v>1223</v>
      </c>
      <c r="D4553" s="487"/>
      <c r="E4553" s="678">
        <v>0</v>
      </c>
      <c r="F4553" s="597">
        <f t="shared" ref="F4553:G4553" si="3597">E4553*1.1</f>
        <v>0</v>
      </c>
      <c r="G4553" s="597">
        <f t="shared" si="3597"/>
        <v>0</v>
      </c>
      <c r="H4553" s="132"/>
    </row>
    <row r="4554" spans="1:8" outlineLevel="3">
      <c r="A4554" s="600"/>
      <c r="B4554" s="600"/>
      <c r="C4554" s="443">
        <v>2210200</v>
      </c>
      <c r="D4554" s="492" t="s">
        <v>19</v>
      </c>
      <c r="E4554" s="493">
        <f>E4555+E4556</f>
        <v>106100</v>
      </c>
      <c r="F4554" s="597">
        <f t="shared" ref="F4554:G4554" si="3598">E4554*1.1</f>
        <v>116710.00000000001</v>
      </c>
      <c r="G4554" s="597">
        <f t="shared" si="3598"/>
        <v>128381.00000000003</v>
      </c>
    </row>
    <row r="4555" spans="1:8" outlineLevel="3">
      <c r="A4555" s="600"/>
      <c r="B4555" s="600"/>
      <c r="C4555" s="437">
        <v>2210201</v>
      </c>
      <c r="D4555" s="494" t="s">
        <v>1177</v>
      </c>
      <c r="E4555" s="496">
        <v>70000</v>
      </c>
      <c r="F4555" s="597">
        <f t="shared" ref="F4555:G4555" si="3599">E4555*1.1</f>
        <v>77000</v>
      </c>
      <c r="G4555" s="597">
        <f t="shared" si="3599"/>
        <v>84700</v>
      </c>
    </row>
    <row r="4556" spans="1:8" s="301" customFormat="1" outlineLevel="3">
      <c r="A4556" s="600"/>
      <c r="B4556" s="600"/>
      <c r="C4556" s="437">
        <v>2210202</v>
      </c>
      <c r="D4556" s="494" t="s">
        <v>21</v>
      </c>
      <c r="E4556" s="496">
        <v>36100</v>
      </c>
      <c r="F4556" s="597">
        <f t="shared" ref="F4556:G4556" si="3600">E4556*1.1</f>
        <v>39710</v>
      </c>
      <c r="G4556" s="597">
        <f t="shared" si="3600"/>
        <v>43681</v>
      </c>
      <c r="H4556" s="132"/>
    </row>
    <row r="4557" spans="1:8" outlineLevel="3">
      <c r="A4557" s="600"/>
      <c r="B4557" s="600"/>
      <c r="C4557" s="443">
        <v>2210300</v>
      </c>
      <c r="D4557" s="492" t="s">
        <v>1178</v>
      </c>
      <c r="E4557" s="493">
        <f>E4558+E4559+E4560</f>
        <v>449445</v>
      </c>
      <c r="F4557" s="597">
        <f t="shared" ref="F4557:G4557" si="3601">E4557*1.1</f>
        <v>494389.50000000006</v>
      </c>
      <c r="G4557" s="597">
        <f t="shared" si="3601"/>
        <v>543828.45000000007</v>
      </c>
    </row>
    <row r="4558" spans="1:8" outlineLevel="3">
      <c r="A4558" s="600"/>
      <c r="B4558" s="600"/>
      <c r="C4558" s="437">
        <v>2210301</v>
      </c>
      <c r="D4558" s="494" t="s">
        <v>208</v>
      </c>
      <c r="E4558" s="496">
        <v>178445</v>
      </c>
      <c r="F4558" s="597">
        <f t="shared" ref="F4558:G4558" si="3602">E4558*1.1</f>
        <v>196289.50000000003</v>
      </c>
      <c r="G4558" s="597">
        <f t="shared" si="3602"/>
        <v>215918.45000000004</v>
      </c>
    </row>
    <row r="4559" spans="1:8" outlineLevel="3">
      <c r="A4559" s="600"/>
      <c r="B4559" s="600"/>
      <c r="C4559" s="437">
        <v>2210302</v>
      </c>
      <c r="D4559" s="494" t="s">
        <v>25</v>
      </c>
      <c r="E4559" s="496">
        <v>145000</v>
      </c>
      <c r="F4559" s="597">
        <f t="shared" ref="F4559:G4559" si="3603">E4559*1.1</f>
        <v>159500</v>
      </c>
      <c r="G4559" s="597">
        <f t="shared" si="3603"/>
        <v>175450</v>
      </c>
    </row>
    <row r="4560" spans="1:8" s="301" customFormat="1" outlineLevel="3">
      <c r="A4560" s="600"/>
      <c r="B4560" s="600"/>
      <c r="C4560" s="437">
        <v>2210303</v>
      </c>
      <c r="D4560" s="494" t="s">
        <v>259</v>
      </c>
      <c r="E4560" s="496">
        <v>126000</v>
      </c>
      <c r="F4560" s="597">
        <f t="shared" ref="F4560:G4560" si="3604">E4560*1.1</f>
        <v>138600</v>
      </c>
      <c r="G4560" s="597">
        <f t="shared" si="3604"/>
        <v>152460</v>
      </c>
      <c r="H4560" s="132"/>
    </row>
    <row r="4561" spans="1:8" outlineLevel="3">
      <c r="A4561" s="600"/>
      <c r="B4561" s="600"/>
      <c r="C4561" s="443">
        <v>2210500</v>
      </c>
      <c r="D4561" s="492" t="s">
        <v>931</v>
      </c>
      <c r="E4561" s="493">
        <f>E4562</f>
        <v>100000</v>
      </c>
      <c r="F4561" s="597">
        <f t="shared" ref="F4561:G4561" si="3605">E4561*1.1</f>
        <v>110000.00000000001</v>
      </c>
      <c r="G4561" s="597">
        <f t="shared" si="3605"/>
        <v>121000.00000000003</v>
      </c>
    </row>
    <row r="4562" spans="1:8" outlineLevel="3">
      <c r="A4562" s="600"/>
      <c r="B4562" s="600"/>
      <c r="C4562" s="437">
        <v>2210502</v>
      </c>
      <c r="D4562" s="494" t="s">
        <v>162</v>
      </c>
      <c r="E4562" s="496">
        <v>100000</v>
      </c>
      <c r="F4562" s="597">
        <f t="shared" ref="F4562:G4562" si="3606">E4562*1.1</f>
        <v>110000.00000000001</v>
      </c>
      <c r="G4562" s="597">
        <f t="shared" si="3606"/>
        <v>121000.00000000003</v>
      </c>
    </row>
    <row r="4563" spans="1:8" outlineLevel="3">
      <c r="A4563" s="600"/>
      <c r="B4563" s="600"/>
      <c r="C4563" s="443">
        <v>2210700</v>
      </c>
      <c r="D4563" s="492" t="s">
        <v>34</v>
      </c>
      <c r="E4563" s="493">
        <f>E4564+E4565+E4566</f>
        <v>223800</v>
      </c>
      <c r="F4563" s="597">
        <f t="shared" ref="F4563:G4563" si="3607">E4563*1.1</f>
        <v>246180.00000000003</v>
      </c>
      <c r="G4563" s="597">
        <f t="shared" si="3607"/>
        <v>270798.00000000006</v>
      </c>
    </row>
    <row r="4564" spans="1:8" outlineLevel="3">
      <c r="A4564" s="600"/>
      <c r="B4564" s="600"/>
      <c r="C4564" s="437">
        <v>2210701</v>
      </c>
      <c r="D4564" s="494" t="s">
        <v>35</v>
      </c>
      <c r="E4564" s="496">
        <v>84998</v>
      </c>
      <c r="F4564" s="597">
        <f t="shared" ref="F4564:G4564" si="3608">E4564*1.1</f>
        <v>93497.8</v>
      </c>
      <c r="G4564" s="597">
        <f t="shared" si="3608"/>
        <v>102847.58000000002</v>
      </c>
    </row>
    <row r="4565" spans="1:8" outlineLevel="3">
      <c r="A4565" s="600"/>
      <c r="B4565" s="600"/>
      <c r="C4565" s="437">
        <v>2210710</v>
      </c>
      <c r="D4565" s="494" t="s">
        <v>1180</v>
      </c>
      <c r="E4565" s="496">
        <v>83000</v>
      </c>
      <c r="F4565" s="597">
        <f t="shared" ref="F4565:G4565" si="3609">E4565*1.1</f>
        <v>91300.000000000015</v>
      </c>
      <c r="G4565" s="597">
        <f t="shared" si="3609"/>
        <v>100430.00000000003</v>
      </c>
    </row>
    <row r="4566" spans="1:8" outlineLevel="3">
      <c r="A4566" s="600"/>
      <c r="B4566" s="600"/>
      <c r="C4566" s="437">
        <v>2210711</v>
      </c>
      <c r="D4566" s="494" t="s">
        <v>167</v>
      </c>
      <c r="E4566" s="496">
        <v>55802</v>
      </c>
      <c r="F4566" s="597">
        <f t="shared" ref="F4566:G4566" si="3610">E4566*1.1</f>
        <v>61382.200000000004</v>
      </c>
      <c r="G4566" s="597">
        <f t="shared" si="3610"/>
        <v>67520.420000000013</v>
      </c>
    </row>
    <row r="4567" spans="1:8" s="301" customFormat="1" outlineLevel="3">
      <c r="A4567" s="600"/>
      <c r="B4567" s="600"/>
      <c r="C4567" s="484"/>
      <c r="D4567" s="490" t="s">
        <v>1206</v>
      </c>
      <c r="E4567" s="626">
        <f>E4563+E4561+E4557+E4554</f>
        <v>879345</v>
      </c>
      <c r="F4567" s="597">
        <f t="shared" ref="F4567:G4567" si="3611">E4567*1.1</f>
        <v>967279.50000000012</v>
      </c>
      <c r="G4567" s="597">
        <f t="shared" si="3611"/>
        <v>1064007.4500000002</v>
      </c>
      <c r="H4567" s="132"/>
    </row>
    <row r="4568" spans="1:8" outlineLevel="2">
      <c r="A4568" s="600"/>
      <c r="B4568" s="600"/>
      <c r="C4568" s="443"/>
      <c r="D4568" s="490" t="s">
        <v>101</v>
      </c>
      <c r="E4568" s="626">
        <f>E4567</f>
        <v>879345</v>
      </c>
      <c r="F4568" s="597">
        <f t="shared" ref="F4568:G4568" si="3612">E4568*1.1</f>
        <v>967279.50000000012</v>
      </c>
      <c r="G4568" s="597">
        <f t="shared" si="3612"/>
        <v>1064007.4500000002</v>
      </c>
    </row>
    <row r="4569" spans="1:8" outlineLevel="2" collapsed="1">
      <c r="A4569" s="600"/>
      <c r="B4569" s="600"/>
      <c r="C4569" s="437"/>
      <c r="D4569" s="494"/>
      <c r="E4569" s="496">
        <v>0</v>
      </c>
      <c r="F4569" s="597">
        <f t="shared" ref="F4569:G4569" si="3613">E4569*1.1</f>
        <v>0</v>
      </c>
      <c r="G4569" s="597">
        <f t="shared" si="3613"/>
        <v>0</v>
      </c>
    </row>
    <row r="4570" spans="1:8" outlineLevel="2">
      <c r="A4570" s="607"/>
      <c r="B4570" s="607"/>
      <c r="C4570" s="437"/>
      <c r="D4570" s="490" t="s">
        <v>184</v>
      </c>
      <c r="E4570" s="496">
        <v>0</v>
      </c>
      <c r="F4570" s="597">
        <f t="shared" ref="F4570:G4570" si="3614">E4570*1.1</f>
        <v>0</v>
      </c>
      <c r="G4570" s="597">
        <f t="shared" si="3614"/>
        <v>0</v>
      </c>
    </row>
    <row r="4571" spans="1:8" outlineLevel="3">
      <c r="A4571" s="600"/>
      <c r="B4571" s="600"/>
      <c r="C4571" s="443">
        <v>3110500</v>
      </c>
      <c r="D4571" s="492" t="s">
        <v>1194</v>
      </c>
      <c r="E4571" s="493">
        <f>E4572</f>
        <v>4000000</v>
      </c>
      <c r="F4571" s="597">
        <f t="shared" ref="F4571:G4571" si="3615">E4571*1.1</f>
        <v>4400000</v>
      </c>
      <c r="G4571" s="597">
        <f t="shared" si="3615"/>
        <v>4840000</v>
      </c>
    </row>
    <row r="4572" spans="1:8" s="301" customFormat="1" ht="30" outlineLevel="3">
      <c r="A4572" s="600"/>
      <c r="B4572" s="600"/>
      <c r="C4572" s="437">
        <v>3110599</v>
      </c>
      <c r="D4572" s="494" t="s">
        <v>1224</v>
      </c>
      <c r="E4572" s="496">
        <v>4000000</v>
      </c>
      <c r="F4572" s="597">
        <f t="shared" ref="F4572:G4572" si="3616">E4572*1.1</f>
        <v>4400000</v>
      </c>
      <c r="G4572" s="597">
        <f t="shared" si="3616"/>
        <v>4840000</v>
      </c>
      <c r="H4572" s="132"/>
    </row>
    <row r="4573" spans="1:8" s="301" customFormat="1" ht="30" outlineLevel="3">
      <c r="A4573" s="600"/>
      <c r="B4573" s="600"/>
      <c r="C4573" s="443">
        <v>2630200</v>
      </c>
      <c r="D4573" s="492" t="s">
        <v>1225</v>
      </c>
      <c r="E4573" s="493">
        <f>E4574</f>
        <v>21765280</v>
      </c>
      <c r="F4573" s="597">
        <f t="shared" ref="F4573:G4573" si="3617">E4573*1.1</f>
        <v>23941808.000000004</v>
      </c>
      <c r="G4573" s="597">
        <f t="shared" si="3617"/>
        <v>26335988.800000004</v>
      </c>
      <c r="H4573" s="132"/>
    </row>
    <row r="4574" spans="1:8" s="301" customFormat="1" ht="30" outlineLevel="3">
      <c r="A4574" s="600"/>
      <c r="B4574" s="600"/>
      <c r="C4574" s="437">
        <v>2630203</v>
      </c>
      <c r="D4574" s="494" t="s">
        <v>1226</v>
      </c>
      <c r="E4574" s="496">
        <v>21765280</v>
      </c>
      <c r="F4574" s="597">
        <f t="shared" ref="F4574:G4574" si="3618">E4574*1.1</f>
        <v>23941808.000000004</v>
      </c>
      <c r="G4574" s="597">
        <f t="shared" si="3618"/>
        <v>26335988.800000004</v>
      </c>
      <c r="H4574" s="132"/>
    </row>
    <row r="4575" spans="1:8" s="306" customFormat="1" outlineLevel="2">
      <c r="A4575" s="624"/>
      <c r="B4575" s="624"/>
      <c r="C4575" s="438"/>
      <c r="D4575" s="490" t="s">
        <v>201</v>
      </c>
      <c r="E4575" s="626">
        <f>E4573+E4571</f>
        <v>25765280</v>
      </c>
      <c r="F4575" s="597">
        <f t="shared" ref="F4575:G4575" si="3619">E4575*1.1</f>
        <v>28341808.000000004</v>
      </c>
      <c r="G4575" s="597">
        <f t="shared" si="3619"/>
        <v>31175988.800000008</v>
      </c>
      <c r="H4575" s="132"/>
    </row>
    <row r="4576" spans="1:8" s="306" customFormat="1" outlineLevel="1">
      <c r="A4576" s="624"/>
      <c r="B4576" s="624"/>
      <c r="C4576" s="438"/>
      <c r="D4576" s="490" t="s">
        <v>924</v>
      </c>
      <c r="E4576" s="626">
        <f>E4575+E4568</f>
        <v>26644625</v>
      </c>
      <c r="F4576" s="597">
        <f t="shared" ref="F4576:G4576" si="3620">E4576*1.1</f>
        <v>29309087.500000004</v>
      </c>
      <c r="G4576" s="597">
        <f t="shared" si="3620"/>
        <v>32239996.250000007</v>
      </c>
      <c r="H4576" s="132"/>
    </row>
    <row r="4577" spans="1:8" s="306" customFormat="1">
      <c r="A4577" s="624"/>
      <c r="B4577" s="624"/>
      <c r="C4577" s="438"/>
      <c r="D4577" s="317" t="s">
        <v>101</v>
      </c>
      <c r="E4577" s="626">
        <f>E4568+E4543+E4517+E4503+E4481+E4437+E4396</f>
        <v>73086737</v>
      </c>
      <c r="F4577" s="626">
        <f t="shared" ref="F4577:G4577" si="3621">F4568+F4543+F4517+F4503+F4481+F4437+F4396</f>
        <v>80395410.700000003</v>
      </c>
      <c r="G4577" s="626">
        <f t="shared" si="3621"/>
        <v>88434951.770000011</v>
      </c>
      <c r="H4577" s="132"/>
    </row>
    <row r="4578" spans="1:8" s="306" customFormat="1">
      <c r="A4578" s="624"/>
      <c r="B4578" s="624"/>
      <c r="C4578" s="438"/>
      <c r="D4578" s="317" t="s">
        <v>201</v>
      </c>
      <c r="E4578" s="626">
        <f>E4401+E4445+E4489+E4508+E4522+E4549+E4575</f>
        <v>51265280</v>
      </c>
      <c r="F4578" s="626">
        <f t="shared" ref="F4578:G4578" si="3622">F4401+F4445+F4489+F4508+F4522+F4549+F4575</f>
        <v>56391808</v>
      </c>
      <c r="G4578" s="626">
        <f t="shared" si="3622"/>
        <v>62030988.800000012</v>
      </c>
      <c r="H4578" s="132"/>
    </row>
    <row r="4579" spans="1:8" s="294" customFormat="1">
      <c r="A4579" s="680"/>
      <c r="B4579" s="680"/>
      <c r="C4579" s="807" t="s">
        <v>1227</v>
      </c>
      <c r="D4579" s="807"/>
      <c r="E4579" s="626">
        <f>E4578+E4577</f>
        <v>124352017</v>
      </c>
      <c r="F4579" s="626">
        <f t="shared" ref="F4579:G4579" si="3623">F4578+F4577</f>
        <v>136787218.69999999</v>
      </c>
      <c r="G4579" s="626">
        <f t="shared" si="3623"/>
        <v>150465940.57000002</v>
      </c>
      <c r="H4579" s="132"/>
    </row>
    <row r="4580" spans="1:8">
      <c r="A4580" s="324"/>
      <c r="B4580" s="324"/>
      <c r="C4580" s="324"/>
      <c r="D4580" s="324"/>
      <c r="E4580" s="495"/>
      <c r="F4580" s="597"/>
      <c r="G4580" s="597"/>
    </row>
    <row r="4581" spans="1:8">
      <c r="A4581" s="324"/>
      <c r="B4581" s="324"/>
      <c r="C4581" s="324"/>
      <c r="D4581" s="324"/>
      <c r="E4581" s="495"/>
      <c r="F4581" s="597"/>
      <c r="G4581" s="597"/>
    </row>
    <row r="4582" spans="1:8">
      <c r="A4582" s="324"/>
      <c r="B4582" s="324"/>
      <c r="C4582" s="324"/>
      <c r="D4582" s="324"/>
      <c r="E4582" s="495"/>
      <c r="F4582" s="597"/>
      <c r="G4582" s="597"/>
    </row>
    <row r="4583" spans="1:8" s="289" customFormat="1">
      <c r="A4583" s="382"/>
      <c r="B4583" s="382"/>
      <c r="C4583" s="438" t="s">
        <v>1228</v>
      </c>
      <c r="D4583" s="490"/>
      <c r="E4583" s="681"/>
      <c r="F4583" s="597"/>
      <c r="G4583" s="597"/>
      <c r="H4583" s="132"/>
    </row>
    <row r="4584" spans="1:8" s="289" customFormat="1" outlineLevel="1">
      <c r="A4584" s="382"/>
      <c r="B4584" s="382"/>
      <c r="C4584" s="441" t="s">
        <v>1229</v>
      </c>
      <c r="D4584" s="682"/>
      <c r="E4584" s="683"/>
      <c r="F4584" s="597">
        <f t="shared" ref="F4584:G4584" si="3624">E4584*1.1</f>
        <v>0</v>
      </c>
      <c r="G4584" s="597">
        <f t="shared" si="3624"/>
        <v>0</v>
      </c>
      <c r="H4584" s="132"/>
    </row>
    <row r="4585" spans="1:8" s="289" customFormat="1" outlineLevel="1">
      <c r="A4585" s="382"/>
      <c r="B4585" s="382"/>
      <c r="C4585" s="441" t="s">
        <v>1230</v>
      </c>
      <c r="D4585" s="682"/>
      <c r="E4585" s="683"/>
      <c r="F4585" s="597">
        <f t="shared" ref="F4585:G4585" si="3625">E4585*1.1</f>
        <v>0</v>
      </c>
      <c r="G4585" s="597">
        <f t="shared" si="3625"/>
        <v>0</v>
      </c>
      <c r="H4585" s="132"/>
    </row>
    <row r="4586" spans="1:8" s="300" customFormat="1" outlineLevel="3">
      <c r="A4586" s="429"/>
      <c r="B4586" s="429"/>
      <c r="C4586" s="386">
        <v>2110100</v>
      </c>
      <c r="D4586" s="492" t="s">
        <v>13</v>
      </c>
      <c r="E4586" s="684">
        <f>E4587</f>
        <v>43598222</v>
      </c>
      <c r="F4586" s="597">
        <f t="shared" ref="F4586:G4586" si="3626">E4586*1.1</f>
        <v>47958044.200000003</v>
      </c>
      <c r="G4586" s="597">
        <f t="shared" si="3626"/>
        <v>52753848.620000005</v>
      </c>
      <c r="H4586" s="132"/>
    </row>
    <row r="4587" spans="1:8" s="289" customFormat="1" outlineLevel="3">
      <c r="A4587" s="382"/>
      <c r="B4587" s="382"/>
      <c r="C4587" s="389">
        <v>2110101</v>
      </c>
      <c r="D4587" s="494" t="s">
        <v>14</v>
      </c>
      <c r="E4587" s="675">
        <v>43598222</v>
      </c>
      <c r="F4587" s="597">
        <f t="shared" ref="F4587:G4587" si="3627">E4587*1.1</f>
        <v>47958044.200000003</v>
      </c>
      <c r="G4587" s="597">
        <f t="shared" si="3627"/>
        <v>52753848.620000005</v>
      </c>
      <c r="H4587" s="132"/>
    </row>
    <row r="4588" spans="1:8" s="289" customFormat="1" outlineLevel="3">
      <c r="A4588" s="382"/>
      <c r="B4588" s="382"/>
      <c r="C4588" s="386">
        <v>2210100</v>
      </c>
      <c r="D4588" s="330" t="s">
        <v>16</v>
      </c>
      <c r="E4588" s="684">
        <f>SUM(E4589:E4590)</f>
        <v>350000</v>
      </c>
      <c r="F4588" s="597">
        <f t="shared" ref="F4588:G4588" si="3628">E4588*1.1</f>
        <v>385000.00000000006</v>
      </c>
      <c r="G4588" s="597">
        <f t="shared" si="3628"/>
        <v>423500.00000000012</v>
      </c>
      <c r="H4588" s="132"/>
    </row>
    <row r="4589" spans="1:8" s="289" customFormat="1" outlineLevel="3">
      <c r="A4589" s="382"/>
      <c r="B4589" s="382"/>
      <c r="C4589" s="389">
        <v>2210101</v>
      </c>
      <c r="D4589" s="326" t="s">
        <v>17</v>
      </c>
      <c r="E4589" s="675">
        <v>230000</v>
      </c>
      <c r="F4589" s="597">
        <f t="shared" ref="F4589:G4589" si="3629">E4589*1.1</f>
        <v>253000.00000000003</v>
      </c>
      <c r="G4589" s="597">
        <f t="shared" si="3629"/>
        <v>278300.00000000006</v>
      </c>
      <c r="H4589" s="132"/>
    </row>
    <row r="4590" spans="1:8" s="289" customFormat="1" outlineLevel="3">
      <c r="A4590" s="382"/>
      <c r="B4590" s="382"/>
      <c r="C4590" s="389">
        <v>2210102</v>
      </c>
      <c r="D4590" s="326" t="s">
        <v>18</v>
      </c>
      <c r="E4590" s="675">
        <v>120000</v>
      </c>
      <c r="F4590" s="597">
        <f t="shared" ref="F4590:G4590" si="3630">E4590*1.1</f>
        <v>132000</v>
      </c>
      <c r="G4590" s="597">
        <f t="shared" si="3630"/>
        <v>145200</v>
      </c>
      <c r="H4590" s="132"/>
    </row>
    <row r="4591" spans="1:8" s="289" customFormat="1" outlineLevel="3">
      <c r="A4591" s="382"/>
      <c r="B4591" s="382"/>
      <c r="C4591" s="386">
        <v>2210200</v>
      </c>
      <c r="D4591" s="492" t="s">
        <v>19</v>
      </c>
      <c r="E4591" s="684">
        <f>SUM(E4592:E4594)</f>
        <v>1100000</v>
      </c>
      <c r="F4591" s="597">
        <f t="shared" ref="F4591:G4591" si="3631">E4591*1.1</f>
        <v>1210000</v>
      </c>
      <c r="G4591" s="597">
        <f t="shared" si="3631"/>
        <v>1331000</v>
      </c>
      <c r="H4591" s="132"/>
    </row>
    <row r="4592" spans="1:8" s="289" customFormat="1" outlineLevel="3">
      <c r="A4592" s="382"/>
      <c r="B4592" s="382"/>
      <c r="C4592" s="389">
        <v>2210201</v>
      </c>
      <c r="D4592" s="494" t="s">
        <v>20</v>
      </c>
      <c r="E4592" s="675">
        <v>550000</v>
      </c>
      <c r="F4592" s="597">
        <f t="shared" ref="F4592:G4592" si="3632">E4592*1.1</f>
        <v>605000</v>
      </c>
      <c r="G4592" s="597">
        <f t="shared" si="3632"/>
        <v>665500</v>
      </c>
      <c r="H4592" s="132"/>
    </row>
    <row r="4593" spans="1:8" s="289" customFormat="1" outlineLevel="3">
      <c r="A4593" s="382"/>
      <c r="B4593" s="382"/>
      <c r="C4593" s="389">
        <v>2210202</v>
      </c>
      <c r="D4593" s="494" t="s">
        <v>21</v>
      </c>
      <c r="E4593" s="675">
        <v>500000</v>
      </c>
      <c r="F4593" s="597">
        <f t="shared" ref="F4593:G4593" si="3633">E4593*1.1</f>
        <v>550000</v>
      </c>
      <c r="G4593" s="597">
        <f t="shared" si="3633"/>
        <v>605000</v>
      </c>
      <c r="H4593" s="132"/>
    </row>
    <row r="4594" spans="1:8" s="289" customFormat="1" outlineLevel="3">
      <c r="A4594" s="382"/>
      <c r="B4594" s="382"/>
      <c r="C4594" s="389">
        <v>2210203</v>
      </c>
      <c r="D4594" s="494" t="s">
        <v>22</v>
      </c>
      <c r="E4594" s="675">
        <v>50000</v>
      </c>
      <c r="F4594" s="597">
        <f t="shared" ref="F4594:G4594" si="3634">E4594*1.1</f>
        <v>55000.000000000007</v>
      </c>
      <c r="G4594" s="597">
        <f t="shared" si="3634"/>
        <v>60500.000000000015</v>
      </c>
      <c r="H4594" s="132"/>
    </row>
    <row r="4595" spans="1:8" s="300" customFormat="1" ht="30" outlineLevel="3">
      <c r="A4595" s="429"/>
      <c r="B4595" s="429"/>
      <c r="C4595" s="386">
        <v>2210300</v>
      </c>
      <c r="D4595" s="492" t="s">
        <v>23</v>
      </c>
      <c r="E4595" s="684">
        <f>SUM(E4596:E4598)</f>
        <v>1750000</v>
      </c>
      <c r="F4595" s="597">
        <f t="shared" ref="F4595:G4595" si="3635">E4595*1.1</f>
        <v>1925000.0000000002</v>
      </c>
      <c r="G4595" s="597">
        <f t="shared" si="3635"/>
        <v>2117500.0000000005</v>
      </c>
      <c r="H4595" s="132"/>
    </row>
    <row r="4596" spans="1:8" s="289" customFormat="1" outlineLevel="3">
      <c r="A4596" s="382"/>
      <c r="B4596" s="382"/>
      <c r="C4596" s="389">
        <v>2210301</v>
      </c>
      <c r="D4596" s="494" t="s">
        <v>24</v>
      </c>
      <c r="E4596" s="675">
        <v>900000</v>
      </c>
      <c r="F4596" s="597">
        <f t="shared" ref="F4596:G4596" si="3636">E4596*1.1</f>
        <v>990000.00000000012</v>
      </c>
      <c r="G4596" s="597">
        <f t="shared" si="3636"/>
        <v>1089000.0000000002</v>
      </c>
      <c r="H4596" s="132"/>
    </row>
    <row r="4597" spans="1:8" s="289" customFormat="1" outlineLevel="3">
      <c r="A4597" s="382"/>
      <c r="B4597" s="382"/>
      <c r="C4597" s="389">
        <v>2210302</v>
      </c>
      <c r="D4597" s="494" t="s">
        <v>25</v>
      </c>
      <c r="E4597" s="675">
        <v>750000</v>
      </c>
      <c r="F4597" s="597">
        <f t="shared" ref="F4597:G4597" si="3637">E4597*1.1</f>
        <v>825000.00000000012</v>
      </c>
      <c r="G4597" s="597">
        <f t="shared" si="3637"/>
        <v>907500.00000000023</v>
      </c>
      <c r="H4597" s="132"/>
    </row>
    <row r="4598" spans="1:8" s="289" customFormat="1" outlineLevel="3">
      <c r="A4598" s="382"/>
      <c r="B4598" s="382"/>
      <c r="C4598" s="389">
        <v>2210303</v>
      </c>
      <c r="D4598" s="494" t="s">
        <v>26</v>
      </c>
      <c r="E4598" s="675">
        <v>100000</v>
      </c>
      <c r="F4598" s="597">
        <f t="shared" ref="F4598:G4598" si="3638">E4598*1.1</f>
        <v>110000.00000000001</v>
      </c>
      <c r="G4598" s="597">
        <f t="shared" si="3638"/>
        <v>121000.00000000003</v>
      </c>
      <c r="H4598" s="132"/>
    </row>
    <row r="4599" spans="1:8" s="289" customFormat="1" ht="30" outlineLevel="3">
      <c r="A4599" s="382"/>
      <c r="B4599" s="382"/>
      <c r="C4599" s="443">
        <v>2210400</v>
      </c>
      <c r="D4599" s="492" t="s">
        <v>1231</v>
      </c>
      <c r="E4599" s="684">
        <f>E4600+E4601+E4602</f>
        <v>3900000</v>
      </c>
      <c r="F4599" s="597">
        <f t="shared" ref="F4599:G4599" si="3639">E4599*1.1</f>
        <v>4290000</v>
      </c>
      <c r="G4599" s="597">
        <f t="shared" si="3639"/>
        <v>4719000</v>
      </c>
      <c r="H4599" s="132"/>
    </row>
    <row r="4600" spans="1:8" s="289" customFormat="1" outlineLevel="3">
      <c r="A4600" s="382"/>
      <c r="B4600" s="382"/>
      <c r="C4600" s="437">
        <v>2210401</v>
      </c>
      <c r="D4600" s="494" t="s">
        <v>24</v>
      </c>
      <c r="E4600" s="501">
        <v>700000</v>
      </c>
      <c r="F4600" s="597">
        <f t="shared" ref="F4600:G4600" si="3640">E4600*1.1</f>
        <v>770000.00000000012</v>
      </c>
      <c r="G4600" s="597">
        <f t="shared" si="3640"/>
        <v>847000.00000000023</v>
      </c>
      <c r="H4600" s="132"/>
    </row>
    <row r="4601" spans="1:8" s="289" customFormat="1" outlineLevel="3">
      <c r="A4601" s="382"/>
      <c r="B4601" s="382"/>
      <c r="C4601" s="389">
        <v>2210402</v>
      </c>
      <c r="D4601" s="620" t="s">
        <v>29</v>
      </c>
      <c r="E4601" s="319">
        <v>2700000</v>
      </c>
      <c r="F4601" s="597">
        <f t="shared" ref="F4601:G4601" si="3641">E4601*1.1</f>
        <v>2970000.0000000005</v>
      </c>
      <c r="G4601" s="597">
        <f t="shared" si="3641"/>
        <v>3267000.0000000009</v>
      </c>
      <c r="H4601" s="132"/>
    </row>
    <row r="4602" spans="1:8" s="289" customFormat="1" outlineLevel="3">
      <c r="A4602" s="382"/>
      <c r="B4602" s="382"/>
      <c r="C4602" s="389">
        <v>2210404</v>
      </c>
      <c r="D4602" s="620" t="s">
        <v>27</v>
      </c>
      <c r="E4602" s="501">
        <v>500000</v>
      </c>
      <c r="F4602" s="597">
        <f t="shared" ref="F4602:G4602" si="3642">E4602*1.1</f>
        <v>550000</v>
      </c>
      <c r="G4602" s="597">
        <f t="shared" si="3642"/>
        <v>605000</v>
      </c>
      <c r="H4602" s="132"/>
    </row>
    <row r="4603" spans="1:8" s="289" customFormat="1" outlineLevel="3">
      <c r="A4603" s="382"/>
      <c r="B4603" s="382"/>
      <c r="C4603" s="386">
        <v>2210500</v>
      </c>
      <c r="D4603" s="492" t="s">
        <v>30</v>
      </c>
      <c r="E4603" s="684">
        <f>SUM(E4604:E4606)</f>
        <v>950000</v>
      </c>
      <c r="F4603" s="597">
        <f t="shared" ref="F4603:G4603" si="3643">E4603*1.1</f>
        <v>1045000.0000000001</v>
      </c>
      <c r="G4603" s="597">
        <f t="shared" si="3643"/>
        <v>1149500.0000000002</v>
      </c>
      <c r="H4603" s="132"/>
    </row>
    <row r="4604" spans="1:8" s="289" customFormat="1" outlineLevel="3">
      <c r="A4604" s="382"/>
      <c r="B4604" s="382"/>
      <c r="C4604" s="389">
        <v>2210502</v>
      </c>
      <c r="D4604" s="494" t="s">
        <v>162</v>
      </c>
      <c r="E4604" s="675">
        <v>350000</v>
      </c>
      <c r="F4604" s="597">
        <f t="shared" ref="F4604:G4604" si="3644">E4604*1.1</f>
        <v>385000.00000000006</v>
      </c>
      <c r="G4604" s="597">
        <f t="shared" si="3644"/>
        <v>423500.00000000012</v>
      </c>
      <c r="H4604" s="132"/>
    </row>
    <row r="4605" spans="1:8" s="289" customFormat="1" outlineLevel="3">
      <c r="A4605" s="382"/>
      <c r="B4605" s="382"/>
      <c r="C4605" s="389">
        <v>2210503</v>
      </c>
      <c r="D4605" s="494" t="s">
        <v>31</v>
      </c>
      <c r="E4605" s="675">
        <v>200000</v>
      </c>
      <c r="F4605" s="597">
        <f t="shared" ref="F4605:G4605" si="3645">E4605*1.1</f>
        <v>220000.00000000003</v>
      </c>
      <c r="G4605" s="597">
        <f t="shared" si="3645"/>
        <v>242000.00000000006</v>
      </c>
      <c r="H4605" s="132"/>
    </row>
    <row r="4606" spans="1:8" s="289" customFormat="1" outlineLevel="3">
      <c r="A4606" s="382"/>
      <c r="B4606" s="382"/>
      <c r="C4606" s="389">
        <v>2210504</v>
      </c>
      <c r="D4606" s="494" t="s">
        <v>32</v>
      </c>
      <c r="E4606" s="675">
        <v>400000</v>
      </c>
      <c r="F4606" s="597">
        <f t="shared" ref="F4606:G4606" si="3646">E4606*1.1</f>
        <v>440000.00000000006</v>
      </c>
      <c r="G4606" s="597">
        <f t="shared" si="3646"/>
        <v>484000.00000000012</v>
      </c>
      <c r="H4606" s="132"/>
    </row>
    <row r="4607" spans="1:8" s="289" customFormat="1" outlineLevel="3">
      <c r="A4607" s="382"/>
      <c r="B4607" s="382"/>
      <c r="C4607" s="386">
        <v>2210700</v>
      </c>
      <c r="D4607" s="492" t="s">
        <v>34</v>
      </c>
      <c r="E4607" s="684">
        <f>SUM(E4608:E4612)</f>
        <v>1790000</v>
      </c>
      <c r="F4607" s="597">
        <f t="shared" ref="F4607:G4607" si="3647">E4607*1.1</f>
        <v>1969000.0000000002</v>
      </c>
      <c r="G4607" s="597">
        <f t="shared" si="3647"/>
        <v>2165900.0000000005</v>
      </c>
      <c r="H4607" s="132"/>
    </row>
    <row r="4608" spans="1:8" s="289" customFormat="1" outlineLevel="3">
      <c r="A4608" s="382"/>
      <c r="B4608" s="382"/>
      <c r="C4608" s="389">
        <v>2210703</v>
      </c>
      <c r="D4608" s="494" t="s">
        <v>166</v>
      </c>
      <c r="E4608" s="675">
        <v>200000</v>
      </c>
      <c r="F4608" s="597">
        <f t="shared" ref="F4608:G4608" si="3648">E4608*1.1</f>
        <v>220000.00000000003</v>
      </c>
      <c r="G4608" s="597">
        <f t="shared" si="3648"/>
        <v>242000.00000000006</v>
      </c>
      <c r="H4608" s="132"/>
    </row>
    <row r="4609" spans="1:8" s="289" customFormat="1" outlineLevel="3">
      <c r="A4609" s="382"/>
      <c r="B4609" s="382"/>
      <c r="C4609" s="389">
        <v>2210704</v>
      </c>
      <c r="D4609" s="494" t="s">
        <v>37</v>
      </c>
      <c r="E4609" s="675">
        <v>140000</v>
      </c>
      <c r="F4609" s="597">
        <f t="shared" ref="F4609:G4609" si="3649">E4609*1.1</f>
        <v>154000</v>
      </c>
      <c r="G4609" s="597">
        <f t="shared" si="3649"/>
        <v>169400</v>
      </c>
      <c r="H4609" s="132"/>
    </row>
    <row r="4610" spans="1:8" s="289" customFormat="1" outlineLevel="3">
      <c r="A4610" s="382"/>
      <c r="B4610" s="382"/>
      <c r="C4610" s="389">
        <v>2210710</v>
      </c>
      <c r="D4610" s="494" t="s">
        <v>38</v>
      </c>
      <c r="E4610" s="675">
        <v>700000</v>
      </c>
      <c r="F4610" s="597">
        <f t="shared" ref="F4610:G4610" si="3650">E4610*1.1</f>
        <v>770000.00000000012</v>
      </c>
      <c r="G4610" s="597">
        <f t="shared" si="3650"/>
        <v>847000.00000000023</v>
      </c>
      <c r="H4610" s="132"/>
    </row>
    <row r="4611" spans="1:8" s="289" customFormat="1" outlineLevel="3">
      <c r="A4611" s="382"/>
      <c r="B4611" s="382"/>
      <c r="C4611" s="437">
        <v>2210711</v>
      </c>
      <c r="D4611" s="709" t="s">
        <v>332</v>
      </c>
      <c r="E4611" s="675">
        <v>500000</v>
      </c>
      <c r="F4611" s="597">
        <f t="shared" ref="F4611:G4611" si="3651">E4611*1.1</f>
        <v>550000</v>
      </c>
      <c r="G4611" s="597">
        <f t="shared" si="3651"/>
        <v>605000</v>
      </c>
      <c r="H4611" s="132"/>
    </row>
    <row r="4612" spans="1:8" s="289" customFormat="1" outlineLevel="3">
      <c r="A4612" s="382"/>
      <c r="B4612" s="382"/>
      <c r="C4612" s="614">
        <v>2210715</v>
      </c>
      <c r="D4612" s="620" t="s">
        <v>39</v>
      </c>
      <c r="E4612" s="675">
        <v>250000</v>
      </c>
      <c r="F4612" s="597">
        <f t="shared" ref="F4612:G4612" si="3652">E4612*1.1</f>
        <v>275000</v>
      </c>
      <c r="G4612" s="597">
        <f t="shared" si="3652"/>
        <v>302500</v>
      </c>
      <c r="H4612" s="132"/>
    </row>
    <row r="4613" spans="1:8" s="289" customFormat="1" outlineLevel="3">
      <c r="A4613" s="382"/>
      <c r="B4613" s="382"/>
      <c r="C4613" s="386">
        <v>2210800</v>
      </c>
      <c r="D4613" s="492" t="s">
        <v>41</v>
      </c>
      <c r="E4613" s="684">
        <f>SUM(E4614:E4615)</f>
        <v>1525000</v>
      </c>
      <c r="F4613" s="597">
        <f t="shared" ref="F4613:G4613" si="3653">E4613*1.1</f>
        <v>1677500.0000000002</v>
      </c>
      <c r="G4613" s="597">
        <f t="shared" si="3653"/>
        <v>1845250.0000000005</v>
      </c>
      <c r="H4613" s="132"/>
    </row>
    <row r="4614" spans="1:8" s="289" customFormat="1" ht="30" outlineLevel="3">
      <c r="A4614" s="382"/>
      <c r="B4614" s="382"/>
      <c r="C4614" s="389">
        <v>2210801</v>
      </c>
      <c r="D4614" s="494" t="s">
        <v>85</v>
      </c>
      <c r="E4614" s="675">
        <v>625000</v>
      </c>
      <c r="F4614" s="597">
        <f t="shared" ref="F4614:G4614" si="3654">E4614*1.1</f>
        <v>687500</v>
      </c>
      <c r="G4614" s="597">
        <f t="shared" si="3654"/>
        <v>756250.00000000012</v>
      </c>
      <c r="H4614" s="132"/>
    </row>
    <row r="4615" spans="1:8" s="289" customFormat="1" outlineLevel="3">
      <c r="A4615" s="382"/>
      <c r="B4615" s="382"/>
      <c r="C4615" s="389">
        <v>2210802</v>
      </c>
      <c r="D4615" s="494" t="s">
        <v>86</v>
      </c>
      <c r="E4615" s="675">
        <v>900000</v>
      </c>
      <c r="F4615" s="597">
        <f t="shared" ref="F4615:G4615" si="3655">E4615*1.1</f>
        <v>990000.00000000012</v>
      </c>
      <c r="G4615" s="597">
        <f t="shared" si="3655"/>
        <v>1089000.0000000002</v>
      </c>
      <c r="H4615" s="132"/>
    </row>
    <row r="4616" spans="1:8" s="289" customFormat="1" outlineLevel="3">
      <c r="A4616" s="382"/>
      <c r="B4616" s="382"/>
      <c r="C4616" s="386">
        <v>2211100</v>
      </c>
      <c r="D4616" s="492" t="s">
        <v>49</v>
      </c>
      <c r="E4616" s="684">
        <f>SUM(E4617:E4619)</f>
        <v>1160000</v>
      </c>
      <c r="F4616" s="597">
        <f t="shared" ref="F4616:G4616" si="3656">E4616*1.1</f>
        <v>1276000</v>
      </c>
      <c r="G4616" s="597">
        <f t="shared" si="3656"/>
        <v>1403600</v>
      </c>
      <c r="H4616" s="132"/>
    </row>
    <row r="4617" spans="1:8" s="289" customFormat="1" ht="30" outlineLevel="3">
      <c r="A4617" s="382"/>
      <c r="B4617" s="382"/>
      <c r="C4617" s="389">
        <v>2211101</v>
      </c>
      <c r="D4617" s="494" t="s">
        <v>87</v>
      </c>
      <c r="E4617" s="675">
        <v>700000</v>
      </c>
      <c r="F4617" s="597">
        <f t="shared" ref="F4617:G4617" si="3657">E4617*1.1</f>
        <v>770000.00000000012</v>
      </c>
      <c r="G4617" s="597">
        <f t="shared" si="3657"/>
        <v>847000.00000000023</v>
      </c>
      <c r="H4617" s="132"/>
    </row>
    <row r="4618" spans="1:8" s="289" customFormat="1" outlineLevel="3">
      <c r="A4618" s="382"/>
      <c r="B4618" s="382"/>
      <c r="C4618" s="389">
        <v>2211102</v>
      </c>
      <c r="D4618" s="494" t="s">
        <v>51</v>
      </c>
      <c r="E4618" s="675">
        <v>410000</v>
      </c>
      <c r="F4618" s="597">
        <f t="shared" ref="F4618:G4618" si="3658">E4618*1.1</f>
        <v>451000.00000000006</v>
      </c>
      <c r="G4618" s="597">
        <f t="shared" si="3658"/>
        <v>496100.00000000012</v>
      </c>
      <c r="H4618" s="132"/>
    </row>
    <row r="4619" spans="1:8" s="289" customFormat="1" outlineLevel="3">
      <c r="A4619" s="382"/>
      <c r="B4619" s="382"/>
      <c r="C4619" s="389">
        <v>2211103</v>
      </c>
      <c r="D4619" s="494" t="s">
        <v>52</v>
      </c>
      <c r="E4619" s="675">
        <v>50000</v>
      </c>
      <c r="F4619" s="597">
        <f t="shared" ref="F4619:G4619" si="3659">E4619*1.1</f>
        <v>55000.000000000007</v>
      </c>
      <c r="G4619" s="597">
        <f t="shared" si="3659"/>
        <v>60500.000000000015</v>
      </c>
      <c r="H4619" s="132"/>
    </row>
    <row r="4620" spans="1:8" s="289" customFormat="1" outlineLevel="3">
      <c r="A4620" s="382"/>
      <c r="B4620" s="382"/>
      <c r="C4620" s="386">
        <v>2211200</v>
      </c>
      <c r="D4620" s="492" t="s">
        <v>53</v>
      </c>
      <c r="E4620" s="684">
        <f>E4621</f>
        <v>710000</v>
      </c>
      <c r="F4620" s="597">
        <f t="shared" ref="F4620:G4620" si="3660">E4620*1.1</f>
        <v>781000.00000000012</v>
      </c>
      <c r="G4620" s="597">
        <f t="shared" si="3660"/>
        <v>859100.00000000023</v>
      </c>
      <c r="H4620" s="132"/>
    </row>
    <row r="4621" spans="1:8" s="289" customFormat="1" outlineLevel="3">
      <c r="A4621" s="382"/>
      <c r="B4621" s="382"/>
      <c r="C4621" s="389">
        <v>2211201</v>
      </c>
      <c r="D4621" s="494" t="s">
        <v>91</v>
      </c>
      <c r="E4621" s="675">
        <v>710000</v>
      </c>
      <c r="F4621" s="597">
        <f t="shared" ref="F4621:G4621" si="3661">E4621*1.1</f>
        <v>781000.00000000012</v>
      </c>
      <c r="G4621" s="597">
        <f t="shared" si="3661"/>
        <v>859100.00000000023</v>
      </c>
      <c r="H4621" s="132"/>
    </row>
    <row r="4622" spans="1:8" s="289" customFormat="1" outlineLevel="3">
      <c r="A4622" s="382"/>
      <c r="B4622" s="382"/>
      <c r="C4622" s="386">
        <v>2211300</v>
      </c>
      <c r="D4622" s="492" t="s">
        <v>55</v>
      </c>
      <c r="E4622" s="684">
        <f>SUM(E4623:E4624)</f>
        <v>462000</v>
      </c>
      <c r="F4622" s="597">
        <f t="shared" ref="F4622:G4622" si="3662">E4622*1.1</f>
        <v>508200.00000000006</v>
      </c>
      <c r="G4622" s="597">
        <f t="shared" si="3662"/>
        <v>559020.00000000012</v>
      </c>
      <c r="H4622" s="132"/>
    </row>
    <row r="4623" spans="1:8" s="289" customFormat="1" outlineLevel="3">
      <c r="A4623" s="382"/>
      <c r="B4623" s="382"/>
      <c r="C4623" s="437">
        <v>2211305</v>
      </c>
      <c r="D4623" s="494" t="s">
        <v>451</v>
      </c>
      <c r="E4623" s="675">
        <v>375000</v>
      </c>
      <c r="F4623" s="597">
        <f t="shared" ref="F4623:G4623" si="3663">E4623*1.1</f>
        <v>412500.00000000006</v>
      </c>
      <c r="G4623" s="597">
        <f t="shared" si="3663"/>
        <v>453750.00000000012</v>
      </c>
      <c r="H4623" s="132"/>
    </row>
    <row r="4624" spans="1:8" s="289" customFormat="1" ht="30" outlineLevel="3">
      <c r="A4624" s="382"/>
      <c r="B4624" s="382"/>
      <c r="C4624" s="389">
        <v>2211306</v>
      </c>
      <c r="D4624" s="494" t="s">
        <v>57</v>
      </c>
      <c r="E4624" s="675">
        <v>87000</v>
      </c>
      <c r="F4624" s="597">
        <f t="shared" ref="F4624:G4624" si="3664">E4624*1.1</f>
        <v>95700.000000000015</v>
      </c>
      <c r="G4624" s="597">
        <f t="shared" si="3664"/>
        <v>105270.00000000003</v>
      </c>
      <c r="H4624" s="132"/>
    </row>
    <row r="4625" spans="1:8" s="289" customFormat="1" ht="30" outlineLevel="3">
      <c r="A4625" s="382"/>
      <c r="B4625" s="382"/>
      <c r="C4625" s="386">
        <v>2220100</v>
      </c>
      <c r="D4625" s="492" t="s">
        <v>61</v>
      </c>
      <c r="E4625" s="684">
        <f>E4626</f>
        <v>900000</v>
      </c>
      <c r="F4625" s="597">
        <f t="shared" ref="F4625:G4625" si="3665">E4625*1.1</f>
        <v>990000.00000000012</v>
      </c>
      <c r="G4625" s="597">
        <f t="shared" si="3665"/>
        <v>1089000.0000000002</v>
      </c>
      <c r="H4625" s="132"/>
    </row>
    <row r="4626" spans="1:8" s="289" customFormat="1" outlineLevel="3">
      <c r="A4626" s="382"/>
      <c r="B4626" s="382"/>
      <c r="C4626" s="389">
        <v>2220101</v>
      </c>
      <c r="D4626" s="494" t="s">
        <v>92</v>
      </c>
      <c r="E4626" s="675">
        <v>900000</v>
      </c>
      <c r="F4626" s="597">
        <f t="shared" ref="F4626:G4626" si="3666">E4626*1.1</f>
        <v>990000.00000000012</v>
      </c>
      <c r="G4626" s="597">
        <f t="shared" si="3666"/>
        <v>1089000.0000000002</v>
      </c>
      <c r="H4626" s="132"/>
    </row>
    <row r="4627" spans="1:8" s="289" customFormat="1" outlineLevel="3">
      <c r="A4627" s="382"/>
      <c r="B4627" s="382"/>
      <c r="C4627" s="386">
        <v>3111000</v>
      </c>
      <c r="D4627" s="492" t="s">
        <v>65</v>
      </c>
      <c r="E4627" s="684">
        <f>SUM(E4628:E4629)</f>
        <v>1900000</v>
      </c>
      <c r="F4627" s="597">
        <f t="shared" ref="F4627:G4627" si="3667">E4627*1.1</f>
        <v>2090000.0000000002</v>
      </c>
      <c r="G4627" s="597">
        <f t="shared" si="3667"/>
        <v>2299000.0000000005</v>
      </c>
      <c r="H4627" s="132"/>
    </row>
    <row r="4628" spans="1:8" s="289" customFormat="1" outlineLevel="3">
      <c r="A4628" s="382"/>
      <c r="B4628" s="382"/>
      <c r="C4628" s="389">
        <v>3111001</v>
      </c>
      <c r="D4628" s="494" t="s">
        <v>66</v>
      </c>
      <c r="E4628" s="675">
        <v>1550000</v>
      </c>
      <c r="F4628" s="597">
        <f t="shared" ref="F4628:G4628" si="3668">E4628*1.1</f>
        <v>1705000.0000000002</v>
      </c>
      <c r="G4628" s="597">
        <f t="shared" si="3668"/>
        <v>1875500.0000000005</v>
      </c>
      <c r="H4628" s="132"/>
    </row>
    <row r="4629" spans="1:8" s="289" customFormat="1" outlineLevel="3">
      <c r="A4629" s="382"/>
      <c r="B4629" s="382"/>
      <c r="C4629" s="389">
        <v>3111009</v>
      </c>
      <c r="D4629" s="494" t="s">
        <v>227</v>
      </c>
      <c r="E4629" s="675">
        <v>350000</v>
      </c>
      <c r="F4629" s="597">
        <f t="shared" ref="F4629:G4629" si="3669">E4629*1.1</f>
        <v>385000.00000000006</v>
      </c>
      <c r="G4629" s="597">
        <f t="shared" si="3669"/>
        <v>423500.00000000012</v>
      </c>
      <c r="H4629" s="132"/>
    </row>
    <row r="4630" spans="1:8" s="289" customFormat="1" outlineLevel="2">
      <c r="A4630" s="382"/>
      <c r="B4630" s="382"/>
      <c r="C4630" s="389"/>
      <c r="D4630" s="492" t="s">
        <v>1233</v>
      </c>
      <c r="E4630" s="684">
        <f>E4586+E4588+E4591+E4595+E4603+E4607+E4613+E4616+E4620+E4622+E4625+E4627+E4599</f>
        <v>60095222</v>
      </c>
      <c r="F4630" s="597">
        <f t="shared" ref="F4630:G4630" si="3670">E4630*1.1</f>
        <v>66104744.200000003</v>
      </c>
      <c r="G4630" s="597">
        <f t="shared" si="3670"/>
        <v>72715218.620000005</v>
      </c>
      <c r="H4630" s="132"/>
    </row>
    <row r="4631" spans="1:8" s="289" customFormat="1" outlineLevel="2">
      <c r="A4631" s="382"/>
      <c r="B4631" s="382"/>
      <c r="C4631" s="443"/>
      <c r="D4631" s="492" t="s">
        <v>1234</v>
      </c>
      <c r="E4631" s="684">
        <f>E4630</f>
        <v>60095222</v>
      </c>
      <c r="F4631" s="597">
        <f t="shared" ref="F4631:G4631" si="3671">E4631*1.1</f>
        <v>66104744.200000003</v>
      </c>
      <c r="G4631" s="597">
        <f t="shared" si="3671"/>
        <v>72715218.620000005</v>
      </c>
      <c r="H4631" s="132"/>
    </row>
    <row r="4632" spans="1:8" s="289" customFormat="1" outlineLevel="2">
      <c r="A4632" s="382"/>
      <c r="B4632" s="382"/>
      <c r="C4632" s="443"/>
      <c r="D4632" s="538"/>
      <c r="E4632" s="684"/>
      <c r="F4632" s="597">
        <f t="shared" ref="F4632:G4632" si="3672">E4632*1.1</f>
        <v>0</v>
      </c>
      <c r="G4632" s="597">
        <f t="shared" si="3672"/>
        <v>0</v>
      </c>
      <c r="H4632" s="132"/>
    </row>
    <row r="4633" spans="1:8" s="289" customFormat="1" outlineLevel="2">
      <c r="A4633" s="382"/>
      <c r="B4633" s="382"/>
      <c r="C4633" s="389"/>
      <c r="D4633" s="685" t="s">
        <v>71</v>
      </c>
      <c r="E4633" s="684"/>
      <c r="F4633" s="597">
        <f t="shared" ref="F4633:G4633" si="3673">E4633*1.1</f>
        <v>0</v>
      </c>
      <c r="G4633" s="597">
        <f t="shared" si="3673"/>
        <v>0</v>
      </c>
      <c r="H4633" s="132"/>
    </row>
    <row r="4634" spans="1:8" s="289" customFormat="1" outlineLevel="3">
      <c r="A4634" s="382"/>
      <c r="B4634" s="382"/>
      <c r="C4634" s="603">
        <v>3110500</v>
      </c>
      <c r="D4634" s="686" t="s">
        <v>305</v>
      </c>
      <c r="E4634" s="684">
        <f>E4635</f>
        <v>13750000</v>
      </c>
      <c r="F4634" s="597">
        <f t="shared" ref="F4634:G4634" si="3674">E4634*1.1</f>
        <v>15125000.000000002</v>
      </c>
      <c r="G4634" s="597">
        <f t="shared" si="3674"/>
        <v>16637500.000000004</v>
      </c>
      <c r="H4634" s="132"/>
    </row>
    <row r="4635" spans="1:8" s="289" customFormat="1" ht="45" outlineLevel="3">
      <c r="A4635" s="382"/>
      <c r="B4635" s="382"/>
      <c r="C4635" s="604">
        <v>3110599</v>
      </c>
      <c r="D4635" s="557" t="s">
        <v>1235</v>
      </c>
      <c r="E4635" s="687">
        <v>13750000</v>
      </c>
      <c r="F4635" s="597">
        <f t="shared" ref="F4635:G4635" si="3675">E4635*1.1</f>
        <v>15125000.000000002</v>
      </c>
      <c r="G4635" s="597">
        <f t="shared" si="3675"/>
        <v>16637500.000000004</v>
      </c>
      <c r="H4635" s="132"/>
    </row>
    <row r="4636" spans="1:8" s="300" customFormat="1" outlineLevel="2">
      <c r="A4636" s="429"/>
      <c r="B4636" s="429"/>
      <c r="C4636" s="603"/>
      <c r="D4636" s="579" t="s">
        <v>184</v>
      </c>
      <c r="E4636" s="688">
        <f>E4634</f>
        <v>13750000</v>
      </c>
      <c r="F4636" s="597">
        <f t="shared" ref="F4636:G4636" si="3676">E4636*1.1</f>
        <v>15125000.000000002</v>
      </c>
      <c r="G4636" s="597">
        <f t="shared" si="3676"/>
        <v>16637500.000000004</v>
      </c>
      <c r="H4636" s="132"/>
    </row>
    <row r="4637" spans="1:8" s="289" customFormat="1" outlineLevel="1">
      <c r="A4637" s="382"/>
      <c r="B4637" s="382"/>
      <c r="C4637" s="443"/>
      <c r="D4637" s="330" t="s">
        <v>1236</v>
      </c>
      <c r="E4637" s="684">
        <f>E4630+E4636</f>
        <v>73845222</v>
      </c>
      <c r="F4637" s="597">
        <f t="shared" ref="F4637:G4637" si="3677">E4637*1.1</f>
        <v>81229744.200000003</v>
      </c>
      <c r="G4637" s="597">
        <f t="shared" si="3677"/>
        <v>89352718.620000005</v>
      </c>
      <c r="H4637" s="132"/>
    </row>
    <row r="4638" spans="1:8" s="289" customFormat="1" outlineLevel="1">
      <c r="A4638" s="382"/>
      <c r="B4638" s="382"/>
      <c r="C4638" s="443"/>
      <c r="D4638" s="538"/>
      <c r="E4638" s="684"/>
      <c r="F4638" s="597">
        <f t="shared" ref="F4638:G4638" si="3678">E4638*1.1</f>
        <v>0</v>
      </c>
      <c r="G4638" s="597">
        <f t="shared" si="3678"/>
        <v>0</v>
      </c>
      <c r="H4638" s="132"/>
    </row>
    <row r="4639" spans="1:8" s="289" customFormat="1" outlineLevel="1">
      <c r="A4639" s="382"/>
      <c r="B4639" s="382"/>
      <c r="C4639" s="443" t="s">
        <v>1237</v>
      </c>
      <c r="D4639" s="538"/>
      <c r="E4639" s="684"/>
      <c r="F4639" s="597">
        <f t="shared" ref="F4639:G4639" si="3679">E4639*1.1</f>
        <v>0</v>
      </c>
      <c r="G4639" s="597">
        <f t="shared" si="3679"/>
        <v>0</v>
      </c>
      <c r="H4639" s="132"/>
    </row>
    <row r="4640" spans="1:8" s="289" customFormat="1" outlineLevel="1">
      <c r="A4640" s="382"/>
      <c r="B4640" s="382"/>
      <c r="C4640" s="443" t="s">
        <v>1238</v>
      </c>
      <c r="D4640" s="538"/>
      <c r="E4640" s="684"/>
      <c r="F4640" s="597">
        <f t="shared" ref="F4640:G4640" si="3680">E4640*1.1</f>
        <v>0</v>
      </c>
      <c r="G4640" s="597">
        <f t="shared" si="3680"/>
        <v>0</v>
      </c>
      <c r="H4640" s="132"/>
    </row>
    <row r="4641" spans="1:8" s="289" customFormat="1" outlineLevel="2">
      <c r="A4641" s="382"/>
      <c r="B4641" s="382"/>
      <c r="C4641" s="386">
        <v>2210200</v>
      </c>
      <c r="D4641" s="492" t="s">
        <v>19</v>
      </c>
      <c r="E4641" s="684">
        <f>E4642</f>
        <v>30000</v>
      </c>
      <c r="F4641" s="597">
        <f t="shared" ref="F4641:G4641" si="3681">E4641*1.1</f>
        <v>33000</v>
      </c>
      <c r="G4641" s="597">
        <f t="shared" si="3681"/>
        <v>36300</v>
      </c>
      <c r="H4641" s="132"/>
    </row>
    <row r="4642" spans="1:8" s="289" customFormat="1" outlineLevel="2">
      <c r="A4642" s="382"/>
      <c r="B4642" s="382"/>
      <c r="C4642" s="389">
        <v>2210201</v>
      </c>
      <c r="D4642" s="494" t="s">
        <v>20</v>
      </c>
      <c r="E4642" s="675">
        <v>30000</v>
      </c>
      <c r="F4642" s="597">
        <f t="shared" ref="F4642:G4642" si="3682">E4642*1.1</f>
        <v>33000</v>
      </c>
      <c r="G4642" s="597">
        <f t="shared" si="3682"/>
        <v>36300</v>
      </c>
      <c r="H4642" s="132"/>
    </row>
    <row r="4643" spans="1:8" s="289" customFormat="1" ht="30" outlineLevel="2">
      <c r="A4643" s="382"/>
      <c r="B4643" s="382"/>
      <c r="C4643" s="386">
        <v>2210300</v>
      </c>
      <c r="D4643" s="492" t="s">
        <v>23</v>
      </c>
      <c r="E4643" s="684">
        <f>SUM(E4644:E4646)</f>
        <v>1350000</v>
      </c>
      <c r="F4643" s="597">
        <f t="shared" ref="F4643:G4643" si="3683">E4643*1.1</f>
        <v>1485000.0000000002</v>
      </c>
      <c r="G4643" s="597">
        <f t="shared" si="3683"/>
        <v>1633500.0000000005</v>
      </c>
      <c r="H4643" s="132"/>
    </row>
    <row r="4644" spans="1:8" s="289" customFormat="1" outlineLevel="2">
      <c r="A4644" s="382"/>
      <c r="B4644" s="382"/>
      <c r="C4644" s="389" t="s">
        <v>1239</v>
      </c>
      <c r="D4644" s="494" t="s">
        <v>24</v>
      </c>
      <c r="E4644" s="675">
        <v>500000</v>
      </c>
      <c r="F4644" s="597">
        <f t="shared" ref="F4644:G4644" si="3684">E4644*1.1</f>
        <v>550000</v>
      </c>
      <c r="G4644" s="597">
        <f t="shared" si="3684"/>
        <v>605000</v>
      </c>
      <c r="H4644" s="132"/>
    </row>
    <row r="4645" spans="1:8" s="289" customFormat="1" outlineLevel="2">
      <c r="A4645" s="382"/>
      <c r="B4645" s="382"/>
      <c r="C4645" s="389">
        <v>2210302</v>
      </c>
      <c r="D4645" s="494" t="s">
        <v>25</v>
      </c>
      <c r="E4645" s="675">
        <v>500000</v>
      </c>
      <c r="F4645" s="597">
        <f t="shared" ref="F4645:G4645" si="3685">E4645*1.1</f>
        <v>550000</v>
      </c>
      <c r="G4645" s="597">
        <f t="shared" si="3685"/>
        <v>605000</v>
      </c>
      <c r="H4645" s="132"/>
    </row>
    <row r="4646" spans="1:8" s="289" customFormat="1" outlineLevel="2">
      <c r="A4646" s="382"/>
      <c r="B4646" s="382"/>
      <c r="C4646" s="389">
        <v>2210303</v>
      </c>
      <c r="D4646" s="494" t="s">
        <v>26</v>
      </c>
      <c r="E4646" s="675">
        <v>350000</v>
      </c>
      <c r="F4646" s="597">
        <f t="shared" ref="F4646:G4646" si="3686">E4646*1.1</f>
        <v>385000.00000000006</v>
      </c>
      <c r="G4646" s="597">
        <f t="shared" si="3686"/>
        <v>423500.00000000012</v>
      </c>
      <c r="H4646" s="132"/>
    </row>
    <row r="4647" spans="1:8" s="289" customFormat="1" outlineLevel="2">
      <c r="A4647" s="382"/>
      <c r="B4647" s="382"/>
      <c r="C4647" s="386">
        <v>2210500</v>
      </c>
      <c r="D4647" s="492" t="s">
        <v>30</v>
      </c>
      <c r="E4647" s="684">
        <f>SUM(E4648:E4650)</f>
        <v>1150000</v>
      </c>
      <c r="F4647" s="597">
        <f t="shared" ref="F4647:G4647" si="3687">E4647*1.1</f>
        <v>1265000</v>
      </c>
      <c r="G4647" s="597">
        <f t="shared" si="3687"/>
        <v>1391500</v>
      </c>
      <c r="H4647" s="132"/>
    </row>
    <row r="4648" spans="1:8" s="289" customFormat="1" outlineLevel="2">
      <c r="A4648" s="382"/>
      <c r="B4648" s="382"/>
      <c r="C4648" s="389">
        <v>2210502</v>
      </c>
      <c r="D4648" s="494" t="s">
        <v>162</v>
      </c>
      <c r="E4648" s="675">
        <v>500000</v>
      </c>
      <c r="F4648" s="597">
        <f t="shared" ref="F4648:G4648" si="3688">E4648*1.1</f>
        <v>550000</v>
      </c>
      <c r="G4648" s="597">
        <f t="shared" si="3688"/>
        <v>605000</v>
      </c>
      <c r="H4648" s="132"/>
    </row>
    <row r="4649" spans="1:8" s="289" customFormat="1" outlineLevel="2">
      <c r="A4649" s="382"/>
      <c r="B4649" s="382"/>
      <c r="C4649" s="389">
        <v>2210503</v>
      </c>
      <c r="D4649" s="494" t="s">
        <v>31</v>
      </c>
      <c r="E4649" s="675">
        <v>150000</v>
      </c>
      <c r="F4649" s="597">
        <f t="shared" ref="F4649:G4649" si="3689">E4649*1.1</f>
        <v>165000</v>
      </c>
      <c r="G4649" s="597">
        <f t="shared" si="3689"/>
        <v>181500.00000000003</v>
      </c>
      <c r="H4649" s="132"/>
    </row>
    <row r="4650" spans="1:8" s="289" customFormat="1" outlineLevel="2">
      <c r="A4650" s="382"/>
      <c r="B4650" s="382"/>
      <c r="C4650" s="389">
        <v>2210504</v>
      </c>
      <c r="D4650" s="494" t="s">
        <v>32</v>
      </c>
      <c r="E4650" s="675">
        <v>500000</v>
      </c>
      <c r="F4650" s="597">
        <f t="shared" ref="F4650:G4650" si="3690">E4650*1.1</f>
        <v>550000</v>
      </c>
      <c r="G4650" s="597">
        <f t="shared" si="3690"/>
        <v>605000</v>
      </c>
      <c r="H4650" s="132"/>
    </row>
    <row r="4651" spans="1:8" s="289" customFormat="1" outlineLevel="2">
      <c r="A4651" s="382"/>
      <c r="B4651" s="382"/>
      <c r="C4651" s="386">
        <v>2210700</v>
      </c>
      <c r="D4651" s="492" t="s">
        <v>34</v>
      </c>
      <c r="E4651" s="684">
        <f>SUM(E4652:E4657)</f>
        <v>1650000</v>
      </c>
      <c r="F4651" s="597">
        <f t="shared" ref="F4651:G4651" si="3691">E4651*1.1</f>
        <v>1815000.0000000002</v>
      </c>
      <c r="G4651" s="597">
        <f t="shared" si="3691"/>
        <v>1996500.0000000005</v>
      </c>
      <c r="H4651" s="132"/>
    </row>
    <row r="4652" spans="1:8" s="289" customFormat="1" outlineLevel="2">
      <c r="A4652" s="382"/>
      <c r="B4652" s="382"/>
      <c r="C4652" s="389">
        <v>2210701</v>
      </c>
      <c r="D4652" s="494" t="s">
        <v>35</v>
      </c>
      <c r="E4652" s="675">
        <v>600000</v>
      </c>
      <c r="F4652" s="597">
        <f t="shared" ref="F4652:G4652" si="3692">E4652*1.1</f>
        <v>660000</v>
      </c>
      <c r="G4652" s="597">
        <f t="shared" si="3692"/>
        <v>726000.00000000012</v>
      </c>
      <c r="H4652" s="132"/>
    </row>
    <row r="4653" spans="1:8" s="289" customFormat="1" outlineLevel="2">
      <c r="A4653" s="382"/>
      <c r="B4653" s="382"/>
      <c r="C4653" s="389">
        <v>2210703</v>
      </c>
      <c r="D4653" s="494" t="s">
        <v>166</v>
      </c>
      <c r="E4653" s="675">
        <v>50000</v>
      </c>
      <c r="F4653" s="597">
        <f t="shared" ref="F4653:G4653" si="3693">E4653*1.1</f>
        <v>55000.000000000007</v>
      </c>
      <c r="G4653" s="597">
        <f t="shared" si="3693"/>
        <v>60500.000000000015</v>
      </c>
      <c r="H4653" s="132"/>
    </row>
    <row r="4654" spans="1:8" s="289" customFormat="1" outlineLevel="2">
      <c r="A4654" s="382"/>
      <c r="B4654" s="382"/>
      <c r="C4654" s="389">
        <v>2210704</v>
      </c>
      <c r="D4654" s="494" t="s">
        <v>37</v>
      </c>
      <c r="E4654" s="675">
        <v>100000</v>
      </c>
      <c r="F4654" s="597">
        <f t="shared" ref="F4654:G4654" si="3694">E4654*1.1</f>
        <v>110000.00000000001</v>
      </c>
      <c r="G4654" s="597">
        <f t="shared" si="3694"/>
        <v>121000.00000000003</v>
      </c>
      <c r="H4654" s="132"/>
    </row>
    <row r="4655" spans="1:8" s="289" customFormat="1" outlineLevel="2">
      <c r="A4655" s="382"/>
      <c r="B4655" s="382"/>
      <c r="C4655" s="389">
        <v>2210710</v>
      </c>
      <c r="D4655" s="494" t="s">
        <v>38</v>
      </c>
      <c r="E4655" s="675">
        <v>400000</v>
      </c>
      <c r="F4655" s="597">
        <f t="shared" ref="F4655:G4655" si="3695">E4655*1.1</f>
        <v>440000.00000000006</v>
      </c>
      <c r="G4655" s="597">
        <f t="shared" si="3695"/>
        <v>484000.00000000012</v>
      </c>
      <c r="H4655" s="132"/>
    </row>
    <row r="4656" spans="1:8" s="289" customFormat="1" outlineLevel="2">
      <c r="A4656" s="382"/>
      <c r="B4656" s="382"/>
      <c r="C4656" s="437">
        <v>2210711</v>
      </c>
      <c r="D4656" s="709" t="s">
        <v>332</v>
      </c>
      <c r="E4656" s="675">
        <v>300000</v>
      </c>
      <c r="F4656" s="597">
        <f t="shared" ref="F4656:G4656" si="3696">E4656*1.1</f>
        <v>330000</v>
      </c>
      <c r="G4656" s="597">
        <f t="shared" si="3696"/>
        <v>363000.00000000006</v>
      </c>
      <c r="H4656" s="132"/>
    </row>
    <row r="4657" spans="1:8" s="289" customFormat="1" outlineLevel="2">
      <c r="A4657" s="382"/>
      <c r="B4657" s="382"/>
      <c r="C4657" s="614">
        <v>2210715</v>
      </c>
      <c r="D4657" s="620" t="s">
        <v>39</v>
      </c>
      <c r="E4657" s="675">
        <v>200000</v>
      </c>
      <c r="F4657" s="597">
        <f t="shared" ref="F4657:G4657" si="3697">E4657*1.1</f>
        <v>220000.00000000003</v>
      </c>
      <c r="G4657" s="597">
        <f t="shared" si="3697"/>
        <v>242000.00000000006</v>
      </c>
      <c r="H4657" s="132"/>
    </row>
    <row r="4658" spans="1:8" s="289" customFormat="1" outlineLevel="2">
      <c r="A4658" s="382"/>
      <c r="B4658" s="382"/>
      <c r="C4658" s="386">
        <v>2210800</v>
      </c>
      <c r="D4658" s="492" t="s">
        <v>41</v>
      </c>
      <c r="E4658" s="684">
        <f>SUM(E4659:E4660)</f>
        <v>1625000</v>
      </c>
      <c r="F4658" s="597">
        <f t="shared" ref="F4658:G4658" si="3698">E4658*1.1</f>
        <v>1787500.0000000002</v>
      </c>
      <c r="G4658" s="597">
        <f t="shared" si="3698"/>
        <v>1966250.0000000005</v>
      </c>
      <c r="H4658" s="132"/>
    </row>
    <row r="4659" spans="1:8" s="289" customFormat="1" ht="30" outlineLevel="2">
      <c r="A4659" s="382"/>
      <c r="B4659" s="382"/>
      <c r="C4659" s="389">
        <v>2210801</v>
      </c>
      <c r="D4659" s="494" t="s">
        <v>85</v>
      </c>
      <c r="E4659" s="675">
        <v>625000</v>
      </c>
      <c r="F4659" s="597">
        <f t="shared" ref="F4659:G4659" si="3699">E4659*1.1</f>
        <v>687500</v>
      </c>
      <c r="G4659" s="597">
        <f t="shared" si="3699"/>
        <v>756250.00000000012</v>
      </c>
      <c r="H4659" s="132"/>
    </row>
    <row r="4660" spans="1:8" s="289" customFormat="1" outlineLevel="2">
      <c r="A4660" s="382"/>
      <c r="B4660" s="382"/>
      <c r="C4660" s="389">
        <v>2210802</v>
      </c>
      <c r="D4660" s="494" t="s">
        <v>86</v>
      </c>
      <c r="E4660" s="675">
        <v>1000000</v>
      </c>
      <c r="F4660" s="597">
        <f t="shared" ref="F4660:G4660" si="3700">E4660*1.1</f>
        <v>1100000</v>
      </c>
      <c r="G4660" s="597">
        <f t="shared" si="3700"/>
        <v>1210000</v>
      </c>
      <c r="H4660" s="132"/>
    </row>
    <row r="4661" spans="1:8" s="289" customFormat="1" outlineLevel="2">
      <c r="A4661" s="382"/>
      <c r="B4661" s="382"/>
      <c r="C4661" s="386">
        <v>2211100</v>
      </c>
      <c r="D4661" s="492" t="s">
        <v>49</v>
      </c>
      <c r="E4661" s="684">
        <f>SUM(E4662:E4664)</f>
        <v>820000</v>
      </c>
      <c r="F4661" s="597">
        <f t="shared" ref="F4661:G4661" si="3701">E4661*1.1</f>
        <v>902000.00000000012</v>
      </c>
      <c r="G4661" s="597">
        <f t="shared" si="3701"/>
        <v>992200.00000000023</v>
      </c>
      <c r="H4661" s="132"/>
    </row>
    <row r="4662" spans="1:8" s="289" customFormat="1" ht="30" outlineLevel="2">
      <c r="A4662" s="382"/>
      <c r="B4662" s="382"/>
      <c r="C4662" s="389">
        <v>2211101</v>
      </c>
      <c r="D4662" s="494" t="s">
        <v>87</v>
      </c>
      <c r="E4662" s="675">
        <v>620000</v>
      </c>
      <c r="F4662" s="597">
        <f t="shared" ref="F4662:G4662" si="3702">E4662*1.1</f>
        <v>682000</v>
      </c>
      <c r="G4662" s="597">
        <f t="shared" si="3702"/>
        <v>750200.00000000012</v>
      </c>
      <c r="H4662" s="132"/>
    </row>
    <row r="4663" spans="1:8" s="289" customFormat="1" outlineLevel="2">
      <c r="A4663" s="382"/>
      <c r="B4663" s="382"/>
      <c r="C4663" s="389">
        <v>2211102</v>
      </c>
      <c r="D4663" s="494" t="s">
        <v>51</v>
      </c>
      <c r="E4663" s="675">
        <v>160000</v>
      </c>
      <c r="F4663" s="597">
        <f t="shared" ref="F4663:G4663" si="3703">E4663*1.1</f>
        <v>176000</v>
      </c>
      <c r="G4663" s="597">
        <f t="shared" si="3703"/>
        <v>193600.00000000003</v>
      </c>
      <c r="H4663" s="132"/>
    </row>
    <row r="4664" spans="1:8" s="289" customFormat="1" outlineLevel="2">
      <c r="A4664" s="382"/>
      <c r="B4664" s="382"/>
      <c r="C4664" s="389">
        <v>2211103</v>
      </c>
      <c r="D4664" s="494" t="s">
        <v>52</v>
      </c>
      <c r="E4664" s="675">
        <v>40000</v>
      </c>
      <c r="F4664" s="597">
        <f t="shared" ref="F4664:G4664" si="3704">E4664*1.1</f>
        <v>44000</v>
      </c>
      <c r="G4664" s="597">
        <f t="shared" si="3704"/>
        <v>48400.000000000007</v>
      </c>
      <c r="H4664" s="132"/>
    </row>
    <row r="4665" spans="1:8" s="289" customFormat="1" outlineLevel="2">
      <c r="A4665" s="382"/>
      <c r="B4665" s="382"/>
      <c r="C4665" s="386">
        <v>2211200</v>
      </c>
      <c r="D4665" s="492" t="s">
        <v>53</v>
      </c>
      <c r="E4665" s="684">
        <f>E4666</f>
        <v>800000</v>
      </c>
      <c r="F4665" s="597">
        <f t="shared" ref="F4665:G4665" si="3705">E4665*1.1</f>
        <v>880000.00000000012</v>
      </c>
      <c r="G4665" s="597">
        <f t="shared" si="3705"/>
        <v>968000.00000000023</v>
      </c>
      <c r="H4665" s="132"/>
    </row>
    <row r="4666" spans="1:8" s="289" customFormat="1" outlineLevel="2">
      <c r="A4666" s="382"/>
      <c r="B4666" s="382"/>
      <c r="C4666" s="389">
        <v>2211201</v>
      </c>
      <c r="D4666" s="494" t="s">
        <v>91</v>
      </c>
      <c r="E4666" s="675">
        <v>800000</v>
      </c>
      <c r="F4666" s="597">
        <f t="shared" ref="F4666:G4666" si="3706">E4666*1.1</f>
        <v>880000.00000000012</v>
      </c>
      <c r="G4666" s="597">
        <f t="shared" si="3706"/>
        <v>968000.00000000023</v>
      </c>
      <c r="H4666" s="132"/>
    </row>
    <row r="4667" spans="1:8" s="289" customFormat="1" outlineLevel="2">
      <c r="A4667" s="382"/>
      <c r="B4667" s="382"/>
      <c r="C4667" s="386">
        <v>2211300</v>
      </c>
      <c r="D4667" s="492" t="s">
        <v>55</v>
      </c>
      <c r="E4667" s="684">
        <f>SUM(E4668:E4669)</f>
        <v>462000</v>
      </c>
      <c r="F4667" s="597">
        <f t="shared" ref="F4667:G4667" si="3707">E4667*1.1</f>
        <v>508200.00000000006</v>
      </c>
      <c r="G4667" s="597">
        <f t="shared" si="3707"/>
        <v>559020.00000000012</v>
      </c>
      <c r="H4667" s="132"/>
    </row>
    <row r="4668" spans="1:8" s="289" customFormat="1" outlineLevel="2">
      <c r="A4668" s="382"/>
      <c r="B4668" s="382"/>
      <c r="C4668" s="437">
        <v>2211305</v>
      </c>
      <c r="D4668" s="494" t="s">
        <v>451</v>
      </c>
      <c r="E4668" s="675">
        <v>375000</v>
      </c>
      <c r="F4668" s="597">
        <f t="shared" ref="F4668:G4668" si="3708">E4668*1.1</f>
        <v>412500.00000000006</v>
      </c>
      <c r="G4668" s="597">
        <f t="shared" si="3708"/>
        <v>453750.00000000012</v>
      </c>
      <c r="H4668" s="132"/>
    </row>
    <row r="4669" spans="1:8" s="289" customFormat="1" ht="30" outlineLevel="2">
      <c r="A4669" s="382"/>
      <c r="B4669" s="382"/>
      <c r="C4669" s="389">
        <v>2211306</v>
      </c>
      <c r="D4669" s="494" t="s">
        <v>57</v>
      </c>
      <c r="E4669" s="675">
        <v>87000</v>
      </c>
      <c r="F4669" s="597">
        <f t="shared" ref="F4669:G4669" si="3709">E4669*1.1</f>
        <v>95700.000000000015</v>
      </c>
      <c r="G4669" s="597">
        <f t="shared" si="3709"/>
        <v>105270.00000000003</v>
      </c>
      <c r="H4669" s="132"/>
    </row>
    <row r="4670" spans="1:8" s="289" customFormat="1" ht="30" outlineLevel="2">
      <c r="A4670" s="382"/>
      <c r="B4670" s="382"/>
      <c r="C4670" s="386">
        <v>2220100</v>
      </c>
      <c r="D4670" s="492" t="s">
        <v>61</v>
      </c>
      <c r="E4670" s="684">
        <f>E4671</f>
        <v>375000</v>
      </c>
      <c r="F4670" s="597">
        <f t="shared" ref="F4670:G4670" si="3710">E4670*1.1</f>
        <v>412500.00000000006</v>
      </c>
      <c r="G4670" s="597">
        <f t="shared" si="3710"/>
        <v>453750.00000000012</v>
      </c>
      <c r="H4670" s="132"/>
    </row>
    <row r="4671" spans="1:8" s="289" customFormat="1" outlineLevel="2">
      <c r="A4671" s="382"/>
      <c r="B4671" s="382"/>
      <c r="C4671" s="389">
        <v>2220101</v>
      </c>
      <c r="D4671" s="494" t="s">
        <v>92</v>
      </c>
      <c r="E4671" s="675">
        <v>375000</v>
      </c>
      <c r="F4671" s="597">
        <f t="shared" ref="F4671:G4671" si="3711">E4671*1.1</f>
        <v>412500.00000000006</v>
      </c>
      <c r="G4671" s="597">
        <f t="shared" si="3711"/>
        <v>453750.00000000012</v>
      </c>
      <c r="H4671" s="132"/>
    </row>
    <row r="4672" spans="1:8" s="289" customFormat="1" outlineLevel="2">
      <c r="A4672" s="382"/>
      <c r="B4672" s="382"/>
      <c r="C4672" s="386">
        <v>2220200</v>
      </c>
      <c r="D4672" s="492" t="s">
        <v>114</v>
      </c>
      <c r="E4672" s="684">
        <f>SUM(E4673:E4673)</f>
        <v>65000</v>
      </c>
      <c r="F4672" s="597">
        <f t="shared" ref="F4672:G4672" si="3712">E4672*1.1</f>
        <v>71500</v>
      </c>
      <c r="G4672" s="597">
        <f t="shared" si="3712"/>
        <v>78650</v>
      </c>
      <c r="H4672" s="132"/>
    </row>
    <row r="4673" spans="1:8" s="289" customFormat="1" outlineLevel="2">
      <c r="A4673" s="382"/>
      <c r="B4673" s="382"/>
      <c r="C4673" s="389">
        <v>2220202</v>
      </c>
      <c r="D4673" s="494" t="s">
        <v>63</v>
      </c>
      <c r="E4673" s="675">
        <v>65000</v>
      </c>
      <c r="F4673" s="597">
        <f t="shared" ref="F4673:G4673" si="3713">E4673*1.1</f>
        <v>71500</v>
      </c>
      <c r="G4673" s="597">
        <f t="shared" si="3713"/>
        <v>78650</v>
      </c>
      <c r="H4673" s="132"/>
    </row>
    <row r="4674" spans="1:8" s="289" customFormat="1" outlineLevel="2">
      <c r="A4674" s="382"/>
      <c r="B4674" s="382"/>
      <c r="C4674" s="386">
        <v>3111000</v>
      </c>
      <c r="D4674" s="492" t="s">
        <v>65</v>
      </c>
      <c r="E4674" s="684">
        <f>SUM(E4675:E4677)</f>
        <v>1850000</v>
      </c>
      <c r="F4674" s="597">
        <f t="shared" ref="F4674:G4674" si="3714">E4674*1.1</f>
        <v>2035000.0000000002</v>
      </c>
      <c r="G4674" s="597">
        <f t="shared" si="3714"/>
        <v>2238500.0000000005</v>
      </c>
      <c r="H4674" s="132"/>
    </row>
    <row r="4675" spans="1:8" s="289" customFormat="1" outlineLevel="2">
      <c r="A4675" s="382"/>
      <c r="B4675" s="382"/>
      <c r="C4675" s="389">
        <v>3111001</v>
      </c>
      <c r="D4675" s="494" t="s">
        <v>66</v>
      </c>
      <c r="E4675" s="675">
        <v>1550000</v>
      </c>
      <c r="F4675" s="597">
        <f t="shared" ref="F4675:G4675" si="3715">E4675*1.1</f>
        <v>1705000.0000000002</v>
      </c>
      <c r="G4675" s="597">
        <f t="shared" si="3715"/>
        <v>1875500.0000000005</v>
      </c>
      <c r="H4675" s="132"/>
    </row>
    <row r="4676" spans="1:8" s="289" customFormat="1" outlineLevel="2">
      <c r="A4676" s="382"/>
      <c r="B4676" s="382"/>
      <c r="C4676" s="389">
        <v>3111002</v>
      </c>
      <c r="D4676" s="494" t="s">
        <v>67</v>
      </c>
      <c r="E4676" s="675">
        <v>100000</v>
      </c>
      <c r="F4676" s="597">
        <f t="shared" ref="F4676:G4676" si="3716">E4676*1.1</f>
        <v>110000.00000000001</v>
      </c>
      <c r="G4676" s="597">
        <f t="shared" si="3716"/>
        <v>121000.00000000003</v>
      </c>
      <c r="H4676" s="132"/>
    </row>
    <row r="4677" spans="1:8" s="289" customFormat="1" outlineLevel="2">
      <c r="A4677" s="382"/>
      <c r="B4677" s="382"/>
      <c r="C4677" s="389">
        <v>3111009</v>
      </c>
      <c r="D4677" s="494" t="s">
        <v>227</v>
      </c>
      <c r="E4677" s="675">
        <v>200000</v>
      </c>
      <c r="F4677" s="597">
        <f t="shared" ref="F4677:G4677" si="3717">E4677*1.1</f>
        <v>220000.00000000003</v>
      </c>
      <c r="G4677" s="597">
        <f t="shared" si="3717"/>
        <v>242000.00000000006</v>
      </c>
      <c r="H4677" s="132"/>
    </row>
    <row r="4678" spans="1:8" s="289" customFormat="1" outlineLevel="1">
      <c r="A4678" s="382"/>
      <c r="B4678" s="382"/>
      <c r="C4678" s="389"/>
      <c r="D4678" s="492" t="s">
        <v>1240</v>
      </c>
      <c r="E4678" s="684">
        <f>E4641+E4643+E4647+E4651+E4658+E4661+E4665+E4667+E4670+E4672+E4674</f>
        <v>10177000</v>
      </c>
      <c r="F4678" s="597">
        <f t="shared" ref="F4678:G4678" si="3718">E4678*1.1</f>
        <v>11194700</v>
      </c>
      <c r="G4678" s="597">
        <f t="shared" si="3718"/>
        <v>12314170.000000002</v>
      </c>
      <c r="H4678" s="132"/>
    </row>
    <row r="4679" spans="1:8" s="289" customFormat="1" outlineLevel="1">
      <c r="A4679" s="382"/>
      <c r="B4679" s="382"/>
      <c r="C4679" s="443"/>
      <c r="D4679" s="538"/>
      <c r="E4679" s="684"/>
      <c r="F4679" s="597">
        <f t="shared" ref="F4679:G4679" si="3719">E4679*1.1</f>
        <v>0</v>
      </c>
      <c r="G4679" s="597">
        <f t="shared" si="3719"/>
        <v>0</v>
      </c>
      <c r="H4679" s="132"/>
    </row>
    <row r="4680" spans="1:8" s="289" customFormat="1" outlineLevel="1">
      <c r="A4680" s="382"/>
      <c r="B4680" s="382"/>
      <c r="C4680" s="443" t="s">
        <v>1237</v>
      </c>
      <c r="D4680" s="538"/>
      <c r="E4680" s="684"/>
      <c r="F4680" s="597">
        <f t="shared" ref="F4680:G4680" si="3720">E4680*1.1</f>
        <v>0</v>
      </c>
      <c r="G4680" s="597">
        <f t="shared" si="3720"/>
        <v>0</v>
      </c>
      <c r="H4680" s="132"/>
    </row>
    <row r="4681" spans="1:8" s="289" customFormat="1" outlineLevel="1">
      <c r="A4681" s="382"/>
      <c r="B4681" s="382"/>
      <c r="C4681" s="443" t="s">
        <v>1241</v>
      </c>
      <c r="D4681" s="538"/>
      <c r="E4681" s="684"/>
      <c r="F4681" s="597">
        <f t="shared" ref="F4681:G4681" si="3721">E4681*1.1</f>
        <v>0</v>
      </c>
      <c r="G4681" s="597">
        <f t="shared" si="3721"/>
        <v>0</v>
      </c>
      <c r="H4681" s="132"/>
    </row>
    <row r="4682" spans="1:8" s="289" customFormat="1" outlineLevel="2">
      <c r="A4682" s="382"/>
      <c r="B4682" s="382"/>
      <c r="C4682" s="386">
        <v>2210100</v>
      </c>
      <c r="D4682" s="330" t="s">
        <v>16</v>
      </c>
      <c r="E4682" s="684">
        <f>SUM(E4683:E4684)</f>
        <v>30500</v>
      </c>
      <c r="F4682" s="597">
        <f t="shared" ref="F4682:G4682" si="3722">E4682*1.1</f>
        <v>33550</v>
      </c>
      <c r="G4682" s="597">
        <f t="shared" si="3722"/>
        <v>36905</v>
      </c>
      <c r="H4682" s="132"/>
    </row>
    <row r="4683" spans="1:8" s="289" customFormat="1" outlineLevel="2">
      <c r="A4683" s="382"/>
      <c r="B4683" s="382"/>
      <c r="C4683" s="389">
        <v>2210101</v>
      </c>
      <c r="D4683" s="326" t="s">
        <v>17</v>
      </c>
      <c r="E4683" s="675">
        <v>10000</v>
      </c>
      <c r="F4683" s="597">
        <f t="shared" ref="F4683:G4683" si="3723">E4683*1.1</f>
        <v>11000</v>
      </c>
      <c r="G4683" s="597">
        <f t="shared" si="3723"/>
        <v>12100.000000000002</v>
      </c>
      <c r="H4683" s="132"/>
    </row>
    <row r="4684" spans="1:8" s="289" customFormat="1" outlineLevel="2">
      <c r="A4684" s="382"/>
      <c r="B4684" s="382"/>
      <c r="C4684" s="389">
        <v>2210102</v>
      </c>
      <c r="D4684" s="326" t="s">
        <v>18</v>
      </c>
      <c r="E4684" s="675">
        <v>20500</v>
      </c>
      <c r="F4684" s="597">
        <f t="shared" ref="F4684:G4684" si="3724">E4684*1.1</f>
        <v>22550.000000000004</v>
      </c>
      <c r="G4684" s="597">
        <f t="shared" si="3724"/>
        <v>24805.000000000007</v>
      </c>
      <c r="H4684" s="132"/>
    </row>
    <row r="4685" spans="1:8" s="289" customFormat="1" outlineLevel="2">
      <c r="A4685" s="382"/>
      <c r="B4685" s="382"/>
      <c r="C4685" s="386">
        <v>2210200</v>
      </c>
      <c r="D4685" s="492" t="s">
        <v>19</v>
      </c>
      <c r="E4685" s="684">
        <f>SUM(E4686:E4687)</f>
        <v>55000</v>
      </c>
      <c r="F4685" s="597">
        <f t="shared" ref="F4685:G4685" si="3725">E4685*1.1</f>
        <v>60500.000000000007</v>
      </c>
      <c r="G4685" s="597">
        <f t="shared" si="3725"/>
        <v>66550.000000000015</v>
      </c>
      <c r="H4685" s="132"/>
    </row>
    <row r="4686" spans="1:8" s="289" customFormat="1" outlineLevel="2">
      <c r="A4686" s="382"/>
      <c r="B4686" s="382"/>
      <c r="C4686" s="389">
        <v>2210201</v>
      </c>
      <c r="D4686" s="494" t="s">
        <v>20</v>
      </c>
      <c r="E4686" s="675">
        <v>50000</v>
      </c>
      <c r="F4686" s="597">
        <f t="shared" ref="F4686:G4686" si="3726">E4686*1.1</f>
        <v>55000.000000000007</v>
      </c>
      <c r="G4686" s="597">
        <f t="shared" si="3726"/>
        <v>60500.000000000015</v>
      </c>
      <c r="H4686" s="132"/>
    </row>
    <row r="4687" spans="1:8" s="289" customFormat="1" outlineLevel="2">
      <c r="A4687" s="382"/>
      <c r="B4687" s="382"/>
      <c r="C4687" s="389">
        <v>2210203</v>
      </c>
      <c r="D4687" s="494" t="s">
        <v>22</v>
      </c>
      <c r="E4687" s="675">
        <v>5000</v>
      </c>
      <c r="F4687" s="597">
        <f t="shared" ref="F4687:G4687" si="3727">E4687*1.1</f>
        <v>5500</v>
      </c>
      <c r="G4687" s="597">
        <f t="shared" si="3727"/>
        <v>6050.0000000000009</v>
      </c>
      <c r="H4687" s="132"/>
    </row>
    <row r="4688" spans="1:8" s="289" customFormat="1" ht="30" outlineLevel="2">
      <c r="A4688" s="382"/>
      <c r="B4688" s="382"/>
      <c r="C4688" s="386">
        <v>2210300</v>
      </c>
      <c r="D4688" s="492" t="s">
        <v>23</v>
      </c>
      <c r="E4688" s="684">
        <f>SUM(E4689:E4691)</f>
        <v>1160000</v>
      </c>
      <c r="F4688" s="597">
        <f t="shared" ref="F4688:G4688" si="3728">E4688*1.1</f>
        <v>1276000</v>
      </c>
      <c r="G4688" s="597">
        <f t="shared" si="3728"/>
        <v>1403600</v>
      </c>
      <c r="H4688" s="132"/>
    </row>
    <row r="4689" spans="1:8" s="289" customFormat="1" outlineLevel="2">
      <c r="A4689" s="382"/>
      <c r="B4689" s="382"/>
      <c r="C4689" s="389">
        <v>2210301</v>
      </c>
      <c r="D4689" s="494" t="s">
        <v>24</v>
      </c>
      <c r="E4689" s="675">
        <v>560000</v>
      </c>
      <c r="F4689" s="597">
        <f t="shared" ref="F4689:G4689" si="3729">E4689*1.1</f>
        <v>616000</v>
      </c>
      <c r="G4689" s="597">
        <f t="shared" si="3729"/>
        <v>677600</v>
      </c>
      <c r="H4689" s="132"/>
    </row>
    <row r="4690" spans="1:8" s="289" customFormat="1" outlineLevel="2">
      <c r="A4690" s="382"/>
      <c r="B4690" s="382"/>
      <c r="C4690" s="389">
        <v>2210302</v>
      </c>
      <c r="D4690" s="494" t="s">
        <v>25</v>
      </c>
      <c r="E4690" s="675">
        <v>200000</v>
      </c>
      <c r="F4690" s="597">
        <f t="shared" ref="F4690:G4690" si="3730">E4690*1.1</f>
        <v>220000.00000000003</v>
      </c>
      <c r="G4690" s="597">
        <f t="shared" si="3730"/>
        <v>242000.00000000006</v>
      </c>
      <c r="H4690" s="132"/>
    </row>
    <row r="4691" spans="1:8" s="289" customFormat="1" outlineLevel="2">
      <c r="A4691" s="382"/>
      <c r="B4691" s="382"/>
      <c r="C4691" s="389">
        <v>2210303</v>
      </c>
      <c r="D4691" s="494" t="s">
        <v>26</v>
      </c>
      <c r="E4691" s="675">
        <v>400000</v>
      </c>
      <c r="F4691" s="597">
        <f t="shared" ref="F4691:G4691" si="3731">E4691*1.1</f>
        <v>440000.00000000006</v>
      </c>
      <c r="G4691" s="597">
        <f t="shared" si="3731"/>
        <v>484000.00000000012</v>
      </c>
      <c r="H4691" s="132"/>
    </row>
    <row r="4692" spans="1:8" s="289" customFormat="1" outlineLevel="2">
      <c r="A4692" s="382"/>
      <c r="B4692" s="382"/>
      <c r="C4692" s="386">
        <v>2210500</v>
      </c>
      <c r="D4692" s="492" t="s">
        <v>30</v>
      </c>
      <c r="E4692" s="684">
        <f>SUM(E4693:E4695)</f>
        <v>650000</v>
      </c>
      <c r="F4692" s="597">
        <f t="shared" ref="F4692:G4692" si="3732">E4692*1.1</f>
        <v>715000</v>
      </c>
      <c r="G4692" s="597">
        <f t="shared" si="3732"/>
        <v>786500.00000000012</v>
      </c>
      <c r="H4692" s="132"/>
    </row>
    <row r="4693" spans="1:8" s="289" customFormat="1" outlineLevel="2">
      <c r="A4693" s="382"/>
      <c r="B4693" s="382"/>
      <c r="C4693" s="389">
        <v>2210502</v>
      </c>
      <c r="D4693" s="494" t="s">
        <v>162</v>
      </c>
      <c r="E4693" s="675">
        <v>100000</v>
      </c>
      <c r="F4693" s="597">
        <f t="shared" ref="F4693:G4693" si="3733">E4693*1.1</f>
        <v>110000.00000000001</v>
      </c>
      <c r="G4693" s="597">
        <f t="shared" si="3733"/>
        <v>121000.00000000003</v>
      </c>
      <c r="H4693" s="132"/>
    </row>
    <row r="4694" spans="1:8" s="289" customFormat="1" outlineLevel="2">
      <c r="A4694" s="382"/>
      <c r="B4694" s="382"/>
      <c r="C4694" s="389">
        <v>2210503</v>
      </c>
      <c r="D4694" s="494" t="s">
        <v>31</v>
      </c>
      <c r="E4694" s="675">
        <v>150000</v>
      </c>
      <c r="F4694" s="597">
        <f t="shared" ref="F4694:G4694" si="3734">E4694*1.1</f>
        <v>165000</v>
      </c>
      <c r="G4694" s="597">
        <f t="shared" si="3734"/>
        <v>181500.00000000003</v>
      </c>
      <c r="H4694" s="132"/>
    </row>
    <row r="4695" spans="1:8" s="289" customFormat="1" outlineLevel="2">
      <c r="A4695" s="382"/>
      <c r="B4695" s="382"/>
      <c r="C4695" s="389">
        <v>2210504</v>
      </c>
      <c r="D4695" s="494" t="s">
        <v>32</v>
      </c>
      <c r="E4695" s="675">
        <v>400000</v>
      </c>
      <c r="F4695" s="597">
        <f t="shared" ref="F4695:G4695" si="3735">E4695*1.1</f>
        <v>440000.00000000006</v>
      </c>
      <c r="G4695" s="597">
        <f t="shared" si="3735"/>
        <v>484000.00000000012</v>
      </c>
      <c r="H4695" s="132"/>
    </row>
    <row r="4696" spans="1:8" s="289" customFormat="1" outlineLevel="2">
      <c r="A4696" s="382"/>
      <c r="B4696" s="382"/>
      <c r="C4696" s="386">
        <v>2210700</v>
      </c>
      <c r="D4696" s="492" t="s">
        <v>34</v>
      </c>
      <c r="E4696" s="684">
        <f>SUM(E4697:E4702)</f>
        <v>780000</v>
      </c>
      <c r="F4696" s="597">
        <f t="shared" ref="F4696:G4696" si="3736">E4696*1.1</f>
        <v>858000.00000000012</v>
      </c>
      <c r="G4696" s="597">
        <f t="shared" si="3736"/>
        <v>943800.00000000023</v>
      </c>
      <c r="H4696" s="132"/>
    </row>
    <row r="4697" spans="1:8" s="289" customFormat="1" outlineLevel="2">
      <c r="A4697" s="382"/>
      <c r="B4697" s="382"/>
      <c r="C4697" s="389">
        <v>2210701</v>
      </c>
      <c r="D4697" s="494" t="s">
        <v>35</v>
      </c>
      <c r="E4697" s="675">
        <v>50000</v>
      </c>
      <c r="F4697" s="597">
        <f t="shared" ref="F4697:G4697" si="3737">E4697*1.1</f>
        <v>55000.000000000007</v>
      </c>
      <c r="G4697" s="597">
        <f t="shared" si="3737"/>
        <v>60500.000000000015</v>
      </c>
      <c r="H4697" s="132"/>
    </row>
    <row r="4698" spans="1:8" s="289" customFormat="1" outlineLevel="2">
      <c r="A4698" s="382"/>
      <c r="B4698" s="382"/>
      <c r="C4698" s="389">
        <v>2210703</v>
      </c>
      <c r="D4698" s="494" t="s">
        <v>166</v>
      </c>
      <c r="E4698" s="675">
        <v>30000</v>
      </c>
      <c r="F4698" s="597">
        <f t="shared" ref="F4698:G4698" si="3738">E4698*1.1</f>
        <v>33000</v>
      </c>
      <c r="G4698" s="597">
        <f t="shared" si="3738"/>
        <v>36300</v>
      </c>
      <c r="H4698" s="132"/>
    </row>
    <row r="4699" spans="1:8" s="289" customFormat="1" outlineLevel="2">
      <c r="A4699" s="382"/>
      <c r="B4699" s="382"/>
      <c r="C4699" s="389">
        <v>2210704</v>
      </c>
      <c r="D4699" s="494" t="s">
        <v>37</v>
      </c>
      <c r="E4699" s="675">
        <v>100000</v>
      </c>
      <c r="F4699" s="597">
        <f t="shared" ref="F4699:G4699" si="3739">E4699*1.1</f>
        <v>110000.00000000001</v>
      </c>
      <c r="G4699" s="597">
        <f t="shared" si="3739"/>
        <v>121000.00000000003</v>
      </c>
      <c r="H4699" s="132"/>
    </row>
    <row r="4700" spans="1:8" s="289" customFormat="1" outlineLevel="2">
      <c r="A4700" s="382"/>
      <c r="B4700" s="382"/>
      <c r="C4700" s="389">
        <v>2210710</v>
      </c>
      <c r="D4700" s="494" t="s">
        <v>38</v>
      </c>
      <c r="E4700" s="675">
        <v>50000</v>
      </c>
      <c r="F4700" s="597">
        <f t="shared" ref="F4700:G4700" si="3740">E4700*1.1</f>
        <v>55000.000000000007</v>
      </c>
      <c r="G4700" s="597">
        <f t="shared" si="3740"/>
        <v>60500.000000000015</v>
      </c>
      <c r="H4700" s="132"/>
    </row>
    <row r="4701" spans="1:8" s="289" customFormat="1" outlineLevel="2">
      <c r="A4701" s="382"/>
      <c r="B4701" s="382"/>
      <c r="C4701" s="437">
        <v>2210711</v>
      </c>
      <c r="D4701" s="709" t="s">
        <v>332</v>
      </c>
      <c r="E4701" s="675">
        <v>300000</v>
      </c>
      <c r="F4701" s="597">
        <f t="shared" ref="F4701:G4701" si="3741">E4701*1.1</f>
        <v>330000</v>
      </c>
      <c r="G4701" s="597">
        <f t="shared" si="3741"/>
        <v>363000.00000000006</v>
      </c>
      <c r="H4701" s="132"/>
    </row>
    <row r="4702" spans="1:8" s="289" customFormat="1" outlineLevel="2">
      <c r="A4702" s="382"/>
      <c r="B4702" s="382"/>
      <c r="C4702" s="614">
        <v>2210715</v>
      </c>
      <c r="D4702" s="620" t="s">
        <v>39</v>
      </c>
      <c r="E4702" s="690">
        <v>250000</v>
      </c>
      <c r="F4702" s="597">
        <f t="shared" ref="F4702:G4702" si="3742">E4702*1.1</f>
        <v>275000</v>
      </c>
      <c r="G4702" s="597">
        <f t="shared" si="3742"/>
        <v>302500</v>
      </c>
      <c r="H4702" s="132"/>
    </row>
    <row r="4703" spans="1:8" s="289" customFormat="1" outlineLevel="2">
      <c r="A4703" s="382"/>
      <c r="B4703" s="382"/>
      <c r="C4703" s="386">
        <v>2210800</v>
      </c>
      <c r="D4703" s="492" t="s">
        <v>41</v>
      </c>
      <c r="E4703" s="684">
        <f>SUM(E4704:E4705)</f>
        <v>700000</v>
      </c>
      <c r="F4703" s="597">
        <f t="shared" ref="F4703:G4703" si="3743">E4703*1.1</f>
        <v>770000.00000000012</v>
      </c>
      <c r="G4703" s="597">
        <f t="shared" si="3743"/>
        <v>847000.00000000023</v>
      </c>
      <c r="H4703" s="132"/>
    </row>
    <row r="4704" spans="1:8" s="289" customFormat="1" ht="30" outlineLevel="2">
      <c r="A4704" s="382"/>
      <c r="B4704" s="382"/>
      <c r="C4704" s="389">
        <v>2210801</v>
      </c>
      <c r="D4704" s="494" t="s">
        <v>85</v>
      </c>
      <c r="E4704" s="675">
        <v>600000</v>
      </c>
      <c r="F4704" s="597">
        <f t="shared" ref="F4704:G4704" si="3744">E4704*1.1</f>
        <v>660000</v>
      </c>
      <c r="G4704" s="597">
        <f t="shared" si="3744"/>
        <v>726000.00000000012</v>
      </c>
      <c r="H4704" s="132"/>
    </row>
    <row r="4705" spans="1:8" s="289" customFormat="1" outlineLevel="2">
      <c r="A4705" s="382"/>
      <c r="B4705" s="382"/>
      <c r="C4705" s="389">
        <v>2210802</v>
      </c>
      <c r="D4705" s="494" t="s">
        <v>86</v>
      </c>
      <c r="E4705" s="675">
        <v>100000</v>
      </c>
      <c r="F4705" s="597">
        <f t="shared" ref="F4705:G4705" si="3745">E4705*1.1</f>
        <v>110000.00000000001</v>
      </c>
      <c r="G4705" s="597">
        <f t="shared" si="3745"/>
        <v>121000.00000000003</v>
      </c>
      <c r="H4705" s="132"/>
    </row>
    <row r="4706" spans="1:8" s="289" customFormat="1" outlineLevel="2">
      <c r="A4706" s="382"/>
      <c r="B4706" s="382"/>
      <c r="C4706" s="386">
        <v>2211100</v>
      </c>
      <c r="D4706" s="492" t="s">
        <v>49</v>
      </c>
      <c r="E4706" s="684">
        <f>SUM(E4707:E4709)</f>
        <v>420000</v>
      </c>
      <c r="F4706" s="597">
        <f t="shared" ref="F4706:G4706" si="3746">E4706*1.1</f>
        <v>462000.00000000006</v>
      </c>
      <c r="G4706" s="597">
        <f t="shared" si="3746"/>
        <v>508200.00000000012</v>
      </c>
      <c r="H4706" s="132"/>
    </row>
    <row r="4707" spans="1:8" s="289" customFormat="1" ht="30" outlineLevel="2">
      <c r="A4707" s="382"/>
      <c r="B4707" s="382"/>
      <c r="C4707" s="389">
        <v>2211101</v>
      </c>
      <c r="D4707" s="494" t="s">
        <v>87</v>
      </c>
      <c r="E4707" s="675">
        <v>300000</v>
      </c>
      <c r="F4707" s="597">
        <f t="shared" ref="F4707:G4707" si="3747">E4707*1.1</f>
        <v>330000</v>
      </c>
      <c r="G4707" s="597">
        <f t="shared" si="3747"/>
        <v>363000.00000000006</v>
      </c>
      <c r="H4707" s="132"/>
    </row>
    <row r="4708" spans="1:8" s="289" customFormat="1" outlineLevel="2">
      <c r="A4708" s="382"/>
      <c r="B4708" s="382"/>
      <c r="C4708" s="389">
        <v>2211102</v>
      </c>
      <c r="D4708" s="494" t="s">
        <v>51</v>
      </c>
      <c r="E4708" s="675">
        <v>60000</v>
      </c>
      <c r="F4708" s="597">
        <f t="shared" ref="F4708:G4708" si="3748">E4708*1.1</f>
        <v>66000</v>
      </c>
      <c r="G4708" s="597">
        <f t="shared" si="3748"/>
        <v>72600</v>
      </c>
      <c r="H4708" s="132"/>
    </row>
    <row r="4709" spans="1:8" s="289" customFormat="1" outlineLevel="2">
      <c r="A4709" s="382"/>
      <c r="B4709" s="382"/>
      <c r="C4709" s="389">
        <v>2211103</v>
      </c>
      <c r="D4709" s="494" t="s">
        <v>52</v>
      </c>
      <c r="E4709" s="675">
        <v>60000</v>
      </c>
      <c r="F4709" s="597">
        <f t="shared" ref="F4709:G4709" si="3749">E4709*1.1</f>
        <v>66000</v>
      </c>
      <c r="G4709" s="597">
        <f t="shared" si="3749"/>
        <v>72600</v>
      </c>
      <c r="H4709" s="132"/>
    </row>
    <row r="4710" spans="1:8" s="289" customFormat="1" outlineLevel="2">
      <c r="A4710" s="382"/>
      <c r="B4710" s="382"/>
      <c r="C4710" s="386">
        <v>2211200</v>
      </c>
      <c r="D4710" s="492" t="s">
        <v>53</v>
      </c>
      <c r="E4710" s="684">
        <f>E4711</f>
        <v>700000</v>
      </c>
      <c r="F4710" s="597">
        <f t="shared" ref="F4710:G4710" si="3750">E4710*1.1</f>
        <v>770000.00000000012</v>
      </c>
      <c r="G4710" s="597">
        <f t="shared" si="3750"/>
        <v>847000.00000000023</v>
      </c>
      <c r="H4710" s="132"/>
    </row>
    <row r="4711" spans="1:8" s="289" customFormat="1" outlineLevel="2">
      <c r="A4711" s="382"/>
      <c r="B4711" s="382"/>
      <c r="C4711" s="389">
        <v>2211201</v>
      </c>
      <c r="D4711" s="494" t="s">
        <v>91</v>
      </c>
      <c r="E4711" s="675">
        <v>700000</v>
      </c>
      <c r="F4711" s="597">
        <f t="shared" ref="F4711:G4711" si="3751">E4711*1.1</f>
        <v>770000.00000000012</v>
      </c>
      <c r="G4711" s="597">
        <f t="shared" si="3751"/>
        <v>847000.00000000023</v>
      </c>
      <c r="H4711" s="132"/>
    </row>
    <row r="4712" spans="1:8" s="289" customFormat="1" outlineLevel="2">
      <c r="A4712" s="382"/>
      <c r="B4712" s="382"/>
      <c r="C4712" s="386">
        <v>2211300</v>
      </c>
      <c r="D4712" s="492" t="s">
        <v>55</v>
      </c>
      <c r="E4712" s="684">
        <f>E4714+E4713</f>
        <v>162000</v>
      </c>
      <c r="F4712" s="597">
        <f t="shared" ref="F4712:G4712" si="3752">E4712*1.1</f>
        <v>178200</v>
      </c>
      <c r="G4712" s="597">
        <f t="shared" si="3752"/>
        <v>196020.00000000003</v>
      </c>
      <c r="H4712" s="132"/>
    </row>
    <row r="4713" spans="1:8" s="289" customFormat="1" outlineLevel="2">
      <c r="A4713" s="382"/>
      <c r="B4713" s="382"/>
      <c r="C4713" s="437">
        <v>2211305</v>
      </c>
      <c r="D4713" s="494" t="s">
        <v>451</v>
      </c>
      <c r="E4713" s="675">
        <v>75000</v>
      </c>
      <c r="F4713" s="597">
        <f t="shared" ref="F4713:G4713" si="3753">E4713*1.1</f>
        <v>82500</v>
      </c>
      <c r="G4713" s="597">
        <f t="shared" si="3753"/>
        <v>90750.000000000015</v>
      </c>
      <c r="H4713" s="132"/>
    </row>
    <row r="4714" spans="1:8" s="289" customFormat="1" ht="30" outlineLevel="2">
      <c r="A4714" s="382"/>
      <c r="B4714" s="382"/>
      <c r="C4714" s="389">
        <v>2211306</v>
      </c>
      <c r="D4714" s="494" t="s">
        <v>57</v>
      </c>
      <c r="E4714" s="675">
        <v>87000</v>
      </c>
      <c r="F4714" s="597">
        <f t="shared" ref="F4714:G4714" si="3754">E4714*1.1</f>
        <v>95700.000000000015</v>
      </c>
      <c r="G4714" s="597">
        <f t="shared" si="3754"/>
        <v>105270.00000000003</v>
      </c>
      <c r="H4714" s="132"/>
    </row>
    <row r="4715" spans="1:8" s="289" customFormat="1" ht="30" outlineLevel="2">
      <c r="A4715" s="382"/>
      <c r="B4715" s="382"/>
      <c r="C4715" s="386">
        <v>2220100</v>
      </c>
      <c r="D4715" s="492" t="s">
        <v>61</v>
      </c>
      <c r="E4715" s="684">
        <f>E4716</f>
        <v>520000</v>
      </c>
      <c r="F4715" s="597">
        <f t="shared" ref="F4715:G4715" si="3755">E4715*1.1</f>
        <v>572000</v>
      </c>
      <c r="G4715" s="597">
        <f t="shared" si="3755"/>
        <v>629200</v>
      </c>
      <c r="H4715" s="132"/>
    </row>
    <row r="4716" spans="1:8" s="289" customFormat="1" outlineLevel="2">
      <c r="A4716" s="382"/>
      <c r="B4716" s="382"/>
      <c r="C4716" s="389">
        <v>2220101</v>
      </c>
      <c r="D4716" s="494" t="s">
        <v>92</v>
      </c>
      <c r="E4716" s="675">
        <v>520000</v>
      </c>
      <c r="F4716" s="597">
        <f t="shared" ref="F4716:G4716" si="3756">E4716*1.1</f>
        <v>572000</v>
      </c>
      <c r="G4716" s="597">
        <f t="shared" si="3756"/>
        <v>629200</v>
      </c>
      <c r="H4716" s="132"/>
    </row>
    <row r="4717" spans="1:8" s="289" customFormat="1" outlineLevel="2">
      <c r="A4717" s="382"/>
      <c r="B4717" s="382"/>
      <c r="C4717" s="386">
        <v>3111000</v>
      </c>
      <c r="D4717" s="492" t="s">
        <v>65</v>
      </c>
      <c r="E4717" s="684">
        <f>SUM(E4718:E4719)</f>
        <v>1230000</v>
      </c>
      <c r="F4717" s="597">
        <f t="shared" ref="F4717:G4717" si="3757">E4717*1.1</f>
        <v>1353000</v>
      </c>
      <c r="G4717" s="597">
        <f t="shared" si="3757"/>
        <v>1488300.0000000002</v>
      </c>
      <c r="H4717" s="132"/>
    </row>
    <row r="4718" spans="1:8" s="289" customFormat="1" outlineLevel="2">
      <c r="A4718" s="382"/>
      <c r="B4718" s="382"/>
      <c r="C4718" s="389">
        <v>3111002</v>
      </c>
      <c r="D4718" s="494" t="s">
        <v>67</v>
      </c>
      <c r="E4718" s="675">
        <v>200000</v>
      </c>
      <c r="F4718" s="597">
        <f t="shared" ref="F4718:G4718" si="3758">E4718*1.1</f>
        <v>220000.00000000003</v>
      </c>
      <c r="G4718" s="597">
        <f t="shared" si="3758"/>
        <v>242000.00000000006</v>
      </c>
      <c r="H4718" s="132"/>
    </row>
    <row r="4719" spans="1:8" s="289" customFormat="1" outlineLevel="2">
      <c r="A4719" s="382"/>
      <c r="B4719" s="382"/>
      <c r="C4719" s="389">
        <v>3111009</v>
      </c>
      <c r="D4719" s="494" t="s">
        <v>227</v>
      </c>
      <c r="E4719" s="675">
        <v>1030000</v>
      </c>
      <c r="F4719" s="597">
        <f t="shared" ref="F4719:G4719" si="3759">E4719*1.1</f>
        <v>1133000</v>
      </c>
      <c r="G4719" s="597">
        <f t="shared" si="3759"/>
        <v>1246300</v>
      </c>
      <c r="H4719" s="132"/>
    </row>
    <row r="4720" spans="1:8" s="289" customFormat="1" outlineLevel="1">
      <c r="A4720" s="382"/>
      <c r="B4720" s="382"/>
      <c r="C4720" s="389"/>
      <c r="D4720" s="492" t="s">
        <v>1240</v>
      </c>
      <c r="E4720" s="684">
        <f>E4682+E4685+E4688+E4692+E4696+E4703+E4706+E4710+E4715+E4717+E4712</f>
        <v>6407500</v>
      </c>
      <c r="F4720" s="597">
        <f t="shared" ref="F4720:G4720" si="3760">E4720*1.1</f>
        <v>7048250.0000000009</v>
      </c>
      <c r="G4720" s="597">
        <f t="shared" si="3760"/>
        <v>7753075.0000000019</v>
      </c>
      <c r="H4720" s="132"/>
    </row>
    <row r="4721" spans="1:8" s="289" customFormat="1" outlineLevel="1">
      <c r="A4721" s="382"/>
      <c r="B4721" s="382"/>
      <c r="C4721" s="443"/>
      <c r="D4721" s="538"/>
      <c r="E4721" s="684"/>
      <c r="F4721" s="597">
        <f t="shared" ref="F4721:G4721" si="3761">E4721*1.1</f>
        <v>0</v>
      </c>
      <c r="G4721" s="597">
        <f t="shared" si="3761"/>
        <v>0</v>
      </c>
      <c r="H4721" s="132"/>
    </row>
    <row r="4722" spans="1:8" s="289" customFormat="1" outlineLevel="1">
      <c r="A4722" s="382"/>
      <c r="B4722" s="382"/>
      <c r="C4722" s="443" t="s">
        <v>1242</v>
      </c>
      <c r="D4722" s="538"/>
      <c r="E4722" s="684"/>
      <c r="F4722" s="597">
        <f t="shared" ref="F4722:G4722" si="3762">E4722*1.1</f>
        <v>0</v>
      </c>
      <c r="G4722" s="597">
        <f t="shared" si="3762"/>
        <v>0</v>
      </c>
      <c r="H4722" s="132"/>
    </row>
    <row r="4723" spans="1:8" s="289" customFormat="1" outlineLevel="1">
      <c r="A4723" s="382"/>
      <c r="B4723" s="382"/>
      <c r="C4723" s="443" t="s">
        <v>1243</v>
      </c>
      <c r="D4723" s="494"/>
      <c r="E4723" s="675"/>
      <c r="F4723" s="597">
        <f t="shared" ref="F4723:G4723" si="3763">E4723*1.1</f>
        <v>0</v>
      </c>
      <c r="G4723" s="597">
        <f t="shared" si="3763"/>
        <v>0</v>
      </c>
      <c r="H4723" s="132"/>
    </row>
    <row r="4724" spans="1:8" s="289" customFormat="1" outlineLevel="2">
      <c r="A4724" s="382"/>
      <c r="B4724" s="382"/>
      <c r="C4724" s="386">
        <v>2210200</v>
      </c>
      <c r="D4724" s="492" t="s">
        <v>19</v>
      </c>
      <c r="E4724" s="684">
        <f>SUM(E4725:E4727)</f>
        <v>110000</v>
      </c>
      <c r="F4724" s="597">
        <f t="shared" ref="F4724:G4724" si="3764">E4724*1.1</f>
        <v>121000.00000000001</v>
      </c>
      <c r="G4724" s="597">
        <f t="shared" si="3764"/>
        <v>133100.00000000003</v>
      </c>
      <c r="H4724" s="132"/>
    </row>
    <row r="4725" spans="1:8" s="289" customFormat="1" outlineLevel="2">
      <c r="A4725" s="382"/>
      <c r="B4725" s="382"/>
      <c r="C4725" s="389">
        <v>2210201</v>
      </c>
      <c r="D4725" s="494" t="s">
        <v>20</v>
      </c>
      <c r="E4725" s="675">
        <v>70000</v>
      </c>
      <c r="F4725" s="597">
        <f t="shared" ref="F4725:G4725" si="3765">E4725*1.1</f>
        <v>77000</v>
      </c>
      <c r="G4725" s="597">
        <f t="shared" si="3765"/>
        <v>84700</v>
      </c>
      <c r="H4725" s="132"/>
    </row>
    <row r="4726" spans="1:8" s="289" customFormat="1" outlineLevel="2">
      <c r="A4726" s="382"/>
      <c r="B4726" s="382"/>
      <c r="C4726" s="389">
        <v>2210202</v>
      </c>
      <c r="D4726" s="494" t="s">
        <v>21</v>
      </c>
      <c r="E4726" s="675">
        <v>35000</v>
      </c>
      <c r="F4726" s="597">
        <f t="shared" ref="F4726:G4726" si="3766">E4726*1.1</f>
        <v>38500</v>
      </c>
      <c r="G4726" s="597">
        <f t="shared" si="3766"/>
        <v>42350</v>
      </c>
      <c r="H4726" s="132"/>
    </row>
    <row r="4727" spans="1:8" s="289" customFormat="1" outlineLevel="2">
      <c r="A4727" s="382"/>
      <c r="B4727" s="382"/>
      <c r="C4727" s="389">
        <v>2210203</v>
      </c>
      <c r="D4727" s="494" t="s">
        <v>22</v>
      </c>
      <c r="E4727" s="675">
        <v>5000</v>
      </c>
      <c r="F4727" s="597">
        <f t="shared" ref="F4727:G4727" si="3767">E4727*1.1</f>
        <v>5500</v>
      </c>
      <c r="G4727" s="597">
        <f t="shared" si="3767"/>
        <v>6050.0000000000009</v>
      </c>
      <c r="H4727" s="132"/>
    </row>
    <row r="4728" spans="1:8" s="289" customFormat="1" ht="30" outlineLevel="2">
      <c r="A4728" s="382"/>
      <c r="B4728" s="382"/>
      <c r="C4728" s="386">
        <v>2210300</v>
      </c>
      <c r="D4728" s="492" t="s">
        <v>23</v>
      </c>
      <c r="E4728" s="684">
        <f>SUM(E4729:E4731)</f>
        <v>1035000</v>
      </c>
      <c r="F4728" s="597">
        <f t="shared" ref="F4728:G4728" si="3768">E4728*1.1</f>
        <v>1138500</v>
      </c>
      <c r="G4728" s="597">
        <f t="shared" si="3768"/>
        <v>1252350</v>
      </c>
      <c r="H4728" s="132"/>
    </row>
    <row r="4729" spans="1:8" s="289" customFormat="1" outlineLevel="2">
      <c r="A4729" s="382"/>
      <c r="B4729" s="382"/>
      <c r="C4729" s="389" t="s">
        <v>1239</v>
      </c>
      <c r="D4729" s="494" t="s">
        <v>24</v>
      </c>
      <c r="E4729" s="675">
        <v>100000</v>
      </c>
      <c r="F4729" s="597">
        <f t="shared" ref="F4729:G4729" si="3769">E4729*1.1</f>
        <v>110000.00000000001</v>
      </c>
      <c r="G4729" s="597">
        <f t="shared" si="3769"/>
        <v>121000.00000000003</v>
      </c>
      <c r="H4729" s="132"/>
    </row>
    <row r="4730" spans="1:8" s="289" customFormat="1" outlineLevel="2">
      <c r="A4730" s="382"/>
      <c r="B4730" s="382"/>
      <c r="C4730" s="389">
        <v>2210302</v>
      </c>
      <c r="D4730" s="494" t="s">
        <v>25</v>
      </c>
      <c r="E4730" s="675">
        <v>700000</v>
      </c>
      <c r="F4730" s="597">
        <f t="shared" ref="F4730:G4730" si="3770">E4730*1.1</f>
        <v>770000.00000000012</v>
      </c>
      <c r="G4730" s="597">
        <f t="shared" si="3770"/>
        <v>847000.00000000023</v>
      </c>
      <c r="H4730" s="132"/>
    </row>
    <row r="4731" spans="1:8" s="289" customFormat="1" outlineLevel="2">
      <c r="A4731" s="382"/>
      <c r="B4731" s="382"/>
      <c r="C4731" s="389">
        <v>2210303</v>
      </c>
      <c r="D4731" s="494" t="s">
        <v>26</v>
      </c>
      <c r="E4731" s="675">
        <v>235000</v>
      </c>
      <c r="F4731" s="597">
        <f t="shared" ref="F4731:G4731" si="3771">E4731*1.1</f>
        <v>258500.00000000003</v>
      </c>
      <c r="G4731" s="597">
        <f t="shared" si="3771"/>
        <v>284350.00000000006</v>
      </c>
      <c r="H4731" s="132"/>
    </row>
    <row r="4732" spans="1:8" s="289" customFormat="1" outlineLevel="2">
      <c r="A4732" s="382"/>
      <c r="B4732" s="382"/>
      <c r="C4732" s="386">
        <v>2210500</v>
      </c>
      <c r="D4732" s="492" t="s">
        <v>30</v>
      </c>
      <c r="E4732" s="684">
        <f>SUM(E4733:E4735)</f>
        <v>700000</v>
      </c>
      <c r="F4732" s="597">
        <f t="shared" ref="F4732:G4732" si="3772">E4732*1.1</f>
        <v>770000.00000000012</v>
      </c>
      <c r="G4732" s="597">
        <f t="shared" si="3772"/>
        <v>847000.00000000023</v>
      </c>
      <c r="H4732" s="132"/>
    </row>
    <row r="4733" spans="1:8" s="289" customFormat="1" outlineLevel="2">
      <c r="A4733" s="382"/>
      <c r="B4733" s="382"/>
      <c r="C4733" s="389">
        <v>2210502</v>
      </c>
      <c r="D4733" s="494" t="s">
        <v>162</v>
      </c>
      <c r="E4733" s="675">
        <v>100000</v>
      </c>
      <c r="F4733" s="597">
        <f t="shared" ref="F4733:G4733" si="3773">E4733*1.1</f>
        <v>110000.00000000001</v>
      </c>
      <c r="G4733" s="597">
        <f t="shared" si="3773"/>
        <v>121000.00000000003</v>
      </c>
      <c r="H4733" s="132"/>
    </row>
    <row r="4734" spans="1:8" s="289" customFormat="1" outlineLevel="2">
      <c r="A4734" s="382"/>
      <c r="B4734" s="382"/>
      <c r="C4734" s="389">
        <v>2210503</v>
      </c>
      <c r="D4734" s="494" t="s">
        <v>31</v>
      </c>
      <c r="E4734" s="675">
        <v>100000</v>
      </c>
      <c r="F4734" s="597">
        <f t="shared" ref="F4734:G4734" si="3774">E4734*1.1</f>
        <v>110000.00000000001</v>
      </c>
      <c r="G4734" s="597">
        <f t="shared" si="3774"/>
        <v>121000.00000000003</v>
      </c>
      <c r="H4734" s="132"/>
    </row>
    <row r="4735" spans="1:8" s="289" customFormat="1" outlineLevel="2">
      <c r="A4735" s="382"/>
      <c r="B4735" s="382"/>
      <c r="C4735" s="389">
        <v>2210504</v>
      </c>
      <c r="D4735" s="494" t="s">
        <v>32</v>
      </c>
      <c r="E4735" s="675">
        <v>500000</v>
      </c>
      <c r="F4735" s="597">
        <f t="shared" ref="F4735:G4735" si="3775">E4735*1.1</f>
        <v>550000</v>
      </c>
      <c r="G4735" s="597">
        <f t="shared" si="3775"/>
        <v>605000</v>
      </c>
      <c r="H4735" s="132"/>
    </row>
    <row r="4736" spans="1:8" s="289" customFormat="1" outlineLevel="2">
      <c r="A4736" s="382"/>
      <c r="B4736" s="382"/>
      <c r="C4736" s="386">
        <v>2210700</v>
      </c>
      <c r="D4736" s="492" t="s">
        <v>34</v>
      </c>
      <c r="E4736" s="684">
        <f>SUM(E4737:E4743)</f>
        <v>1585000</v>
      </c>
      <c r="F4736" s="597">
        <f t="shared" ref="F4736:G4736" si="3776">E4736*1.1</f>
        <v>1743500.0000000002</v>
      </c>
      <c r="G4736" s="597">
        <f t="shared" si="3776"/>
        <v>1917850.0000000005</v>
      </c>
      <c r="H4736" s="132"/>
    </row>
    <row r="4737" spans="1:15413" s="289" customFormat="1" outlineLevel="2">
      <c r="A4737" s="382"/>
      <c r="B4737" s="382"/>
      <c r="C4737" s="389">
        <v>2210701</v>
      </c>
      <c r="D4737" s="494" t="s">
        <v>35</v>
      </c>
      <c r="E4737" s="675">
        <v>500000</v>
      </c>
      <c r="F4737" s="597">
        <f t="shared" ref="F4737:G4737" si="3777">E4737*1.1</f>
        <v>550000</v>
      </c>
      <c r="G4737" s="597">
        <f t="shared" si="3777"/>
        <v>605000</v>
      </c>
      <c r="H4737" s="132"/>
    </row>
    <row r="4738" spans="1:15413" s="289" customFormat="1" outlineLevel="2">
      <c r="A4738" s="382"/>
      <c r="B4738" s="382"/>
      <c r="C4738" s="389">
        <v>2210703</v>
      </c>
      <c r="D4738" s="494" t="s">
        <v>166</v>
      </c>
      <c r="E4738" s="675">
        <v>30000</v>
      </c>
      <c r="F4738" s="597">
        <f t="shared" ref="F4738:G4738" si="3778">E4738*1.1</f>
        <v>33000</v>
      </c>
      <c r="G4738" s="597">
        <f t="shared" si="3778"/>
        <v>36300</v>
      </c>
      <c r="H4738" s="132"/>
    </row>
    <row r="4739" spans="1:15413" s="289" customFormat="1" outlineLevel="2">
      <c r="A4739" s="382"/>
      <c r="B4739" s="382"/>
      <c r="C4739" s="389">
        <v>2210704</v>
      </c>
      <c r="D4739" s="494" t="s">
        <v>37</v>
      </c>
      <c r="E4739" s="675">
        <v>75000</v>
      </c>
      <c r="F4739" s="597">
        <f t="shared" ref="F4739:G4739" si="3779">E4739*1.1</f>
        <v>82500</v>
      </c>
      <c r="G4739" s="597">
        <f t="shared" si="3779"/>
        <v>90750.000000000015</v>
      </c>
      <c r="H4739" s="132"/>
      <c r="I4739" s="692"/>
      <c r="J4739" s="695"/>
      <c r="K4739" s="692"/>
      <c r="L4739" s="695"/>
      <c r="M4739" s="692"/>
      <c r="N4739" s="695"/>
      <c r="O4739" s="692"/>
      <c r="P4739" s="695"/>
      <c r="Q4739" s="692"/>
      <c r="R4739" s="695"/>
      <c r="S4739" s="692"/>
      <c r="T4739" s="695"/>
      <c r="U4739" s="692"/>
      <c r="V4739" s="695"/>
      <c r="W4739" s="692"/>
      <c r="X4739" s="695"/>
      <c r="Y4739" s="692"/>
      <c r="Z4739" s="695"/>
      <c r="AA4739" s="692"/>
      <c r="AB4739" s="695"/>
      <c r="AC4739" s="692"/>
      <c r="AD4739" s="695"/>
      <c r="AE4739" s="692"/>
      <c r="AF4739" s="695"/>
      <c r="AG4739" s="692"/>
      <c r="AH4739" s="695"/>
      <c r="AI4739" s="692"/>
      <c r="AJ4739" s="695"/>
      <c r="AK4739" s="692"/>
      <c r="AL4739" s="695"/>
      <c r="AM4739" s="692"/>
      <c r="AN4739" s="695"/>
      <c r="AO4739" s="692"/>
      <c r="AP4739" s="695"/>
      <c r="AQ4739" s="692"/>
      <c r="AR4739" s="695"/>
      <c r="AS4739" s="692"/>
      <c r="AT4739" s="695"/>
      <c r="AU4739" s="692"/>
      <c r="AV4739" s="695"/>
      <c r="AW4739" s="692"/>
      <c r="AX4739" s="695"/>
      <c r="AY4739" s="692"/>
      <c r="AZ4739" s="695"/>
      <c r="BA4739" s="692"/>
      <c r="BB4739" s="695"/>
      <c r="BC4739" s="692"/>
      <c r="BD4739" s="695"/>
      <c r="BE4739" s="692"/>
      <c r="BF4739" s="695"/>
      <c r="BG4739" s="692"/>
      <c r="BH4739" s="695"/>
      <c r="BI4739" s="692"/>
      <c r="BJ4739" s="695"/>
      <c r="BK4739" s="692"/>
      <c r="BL4739" s="695"/>
      <c r="BM4739" s="692"/>
      <c r="BN4739" s="695"/>
      <c r="BO4739" s="692"/>
      <c r="BP4739" s="695"/>
      <c r="BQ4739" s="692"/>
      <c r="BR4739" s="695"/>
      <c r="BS4739" s="692"/>
      <c r="BT4739" s="695"/>
      <c r="BU4739" s="692"/>
      <c r="BV4739" s="695"/>
      <c r="BW4739" s="692"/>
      <c r="BX4739" s="695"/>
      <c r="BY4739" s="692"/>
      <c r="BZ4739" s="695"/>
      <c r="CA4739" s="692"/>
      <c r="CB4739" s="695"/>
      <c r="CC4739" s="692"/>
      <c r="CD4739" s="695"/>
      <c r="CE4739" s="692"/>
      <c r="CF4739" s="695"/>
      <c r="CG4739" s="692"/>
      <c r="CH4739" s="695"/>
      <c r="CI4739" s="692"/>
      <c r="CJ4739" s="695"/>
      <c r="CK4739" s="692"/>
      <c r="CL4739" s="695"/>
      <c r="CM4739" s="692"/>
      <c r="CN4739" s="695"/>
      <c r="CO4739" s="692"/>
      <c r="CP4739" s="695"/>
      <c r="CQ4739" s="692"/>
      <c r="CR4739" s="695"/>
      <c r="CS4739" s="692"/>
      <c r="CT4739" s="695"/>
      <c r="CU4739" s="692"/>
      <c r="CV4739" s="695"/>
      <c r="CW4739" s="692"/>
      <c r="CX4739" s="695"/>
      <c r="CY4739" s="692"/>
      <c r="CZ4739" s="695"/>
      <c r="DA4739" s="692"/>
      <c r="DB4739" s="695"/>
      <c r="DC4739" s="692"/>
      <c r="DD4739" s="695"/>
      <c r="DE4739" s="692"/>
      <c r="DF4739" s="695"/>
      <c r="DG4739" s="692"/>
      <c r="DH4739" s="695"/>
      <c r="DI4739" s="692"/>
      <c r="DJ4739" s="695"/>
      <c r="DK4739" s="692"/>
      <c r="DL4739" s="695"/>
      <c r="DM4739" s="692"/>
      <c r="DN4739" s="695"/>
      <c r="DO4739" s="692"/>
      <c r="DP4739" s="695"/>
      <c r="DQ4739" s="692"/>
      <c r="DR4739" s="695"/>
      <c r="DS4739" s="692"/>
      <c r="DT4739" s="695"/>
      <c r="DU4739" s="692"/>
      <c r="DV4739" s="695"/>
      <c r="DW4739" s="692"/>
      <c r="DX4739" s="695"/>
      <c r="DY4739" s="692"/>
      <c r="DZ4739" s="695"/>
      <c r="EA4739" s="692"/>
      <c r="EB4739" s="695"/>
      <c r="EC4739" s="692"/>
      <c r="ED4739" s="695"/>
      <c r="EE4739" s="692"/>
      <c r="EF4739" s="695"/>
      <c r="EG4739" s="692"/>
      <c r="EH4739" s="695"/>
      <c r="EI4739" s="692"/>
      <c r="EJ4739" s="695"/>
      <c r="EK4739" s="692"/>
      <c r="EL4739" s="695"/>
      <c r="EM4739" s="692"/>
      <c r="EN4739" s="695"/>
      <c r="EO4739" s="692"/>
      <c r="EP4739" s="695"/>
      <c r="EQ4739" s="692"/>
      <c r="ER4739" s="695"/>
      <c r="ES4739" s="692"/>
      <c r="ET4739" s="695"/>
      <c r="EU4739" s="692"/>
      <c r="EV4739" s="695"/>
      <c r="EW4739" s="692"/>
      <c r="EX4739" s="695"/>
      <c r="EY4739" s="692"/>
      <c r="EZ4739" s="695"/>
      <c r="FA4739" s="692"/>
      <c r="FB4739" s="695"/>
      <c r="FC4739" s="692"/>
      <c r="FD4739" s="695"/>
      <c r="FE4739" s="692"/>
      <c r="FF4739" s="695"/>
      <c r="FG4739" s="692"/>
      <c r="FH4739" s="695"/>
      <c r="FI4739" s="692"/>
      <c r="FJ4739" s="695"/>
      <c r="FK4739" s="692"/>
      <c r="FL4739" s="695"/>
      <c r="FM4739" s="692"/>
      <c r="FN4739" s="695"/>
      <c r="FO4739" s="692"/>
      <c r="FP4739" s="695"/>
      <c r="FQ4739" s="692"/>
      <c r="FR4739" s="695"/>
      <c r="FS4739" s="692"/>
      <c r="FT4739" s="695"/>
      <c r="FU4739" s="692"/>
      <c r="FV4739" s="695"/>
      <c r="FW4739" s="692"/>
      <c r="FX4739" s="695"/>
      <c r="FY4739" s="692"/>
      <c r="FZ4739" s="695"/>
      <c r="GA4739" s="692"/>
      <c r="GB4739" s="695"/>
      <c r="GC4739" s="692"/>
      <c r="GD4739" s="695"/>
      <c r="GE4739" s="692"/>
      <c r="GF4739" s="695"/>
      <c r="GG4739" s="692"/>
      <c r="GH4739" s="695"/>
      <c r="GI4739" s="692"/>
      <c r="GJ4739" s="695"/>
      <c r="GK4739" s="692"/>
      <c r="GL4739" s="695"/>
      <c r="GM4739" s="692"/>
      <c r="GN4739" s="695"/>
      <c r="GO4739" s="692"/>
      <c r="GP4739" s="695"/>
      <c r="GQ4739" s="692"/>
      <c r="GR4739" s="695"/>
      <c r="GS4739" s="692"/>
      <c r="GT4739" s="695"/>
      <c r="GU4739" s="692"/>
      <c r="GV4739" s="695"/>
      <c r="GW4739" s="692"/>
      <c r="GX4739" s="695"/>
      <c r="GY4739" s="692"/>
      <c r="GZ4739" s="695"/>
      <c r="HA4739" s="692"/>
      <c r="HB4739" s="695"/>
      <c r="HC4739" s="692"/>
      <c r="HD4739" s="695"/>
      <c r="HE4739" s="692"/>
      <c r="HF4739" s="695"/>
      <c r="HG4739" s="692"/>
      <c r="HH4739" s="695"/>
      <c r="HI4739" s="692"/>
      <c r="HJ4739" s="695"/>
      <c r="HK4739" s="692"/>
      <c r="HL4739" s="695"/>
      <c r="HM4739" s="692"/>
      <c r="HN4739" s="695"/>
      <c r="HO4739" s="692"/>
      <c r="HP4739" s="695"/>
      <c r="HQ4739" s="692"/>
      <c r="HR4739" s="695"/>
      <c r="HS4739" s="692"/>
      <c r="HT4739" s="695"/>
      <c r="HU4739" s="692"/>
      <c r="HV4739" s="695"/>
      <c r="HW4739" s="692"/>
      <c r="HX4739" s="695"/>
      <c r="HY4739" s="692"/>
      <c r="HZ4739" s="695"/>
      <c r="IA4739" s="692"/>
      <c r="IB4739" s="695"/>
      <c r="IC4739" s="692"/>
      <c r="ID4739" s="695"/>
      <c r="IE4739" s="692"/>
      <c r="IF4739" s="695"/>
      <c r="IG4739" s="692"/>
      <c r="IH4739" s="695"/>
      <c r="II4739" s="692"/>
      <c r="IJ4739" s="695"/>
      <c r="IK4739" s="692"/>
      <c r="IL4739" s="695"/>
      <c r="IM4739" s="692"/>
      <c r="IN4739" s="695"/>
      <c r="IO4739" s="692"/>
      <c r="IP4739" s="695"/>
      <c r="IQ4739" s="692"/>
      <c r="IR4739" s="695"/>
      <c r="IS4739" s="692"/>
      <c r="IT4739" s="695"/>
      <c r="IU4739" s="692"/>
      <c r="IV4739" s="695"/>
      <c r="IW4739" s="692"/>
      <c r="IX4739" s="695"/>
      <c r="IY4739" s="692"/>
      <c r="IZ4739" s="695"/>
      <c r="JA4739" s="692"/>
      <c r="JB4739" s="695"/>
      <c r="JC4739" s="692"/>
      <c r="JD4739" s="695"/>
      <c r="JE4739" s="692"/>
      <c r="JF4739" s="695"/>
      <c r="JG4739" s="692"/>
      <c r="JH4739" s="695"/>
      <c r="JI4739" s="692"/>
      <c r="JJ4739" s="695"/>
      <c r="JK4739" s="692"/>
      <c r="JL4739" s="695"/>
      <c r="JM4739" s="692"/>
      <c r="JN4739" s="695"/>
      <c r="JO4739" s="692"/>
      <c r="JP4739" s="695"/>
      <c r="JQ4739" s="692"/>
      <c r="JR4739" s="695"/>
      <c r="JS4739" s="692"/>
      <c r="JT4739" s="695"/>
      <c r="JU4739" s="692"/>
      <c r="JV4739" s="695"/>
      <c r="JW4739" s="692"/>
      <c r="JX4739" s="695"/>
      <c r="JY4739" s="692"/>
      <c r="JZ4739" s="695"/>
      <c r="KA4739" s="692"/>
      <c r="KB4739" s="695"/>
      <c r="KC4739" s="692"/>
      <c r="KD4739" s="695"/>
      <c r="KE4739" s="692"/>
      <c r="KF4739" s="695"/>
      <c r="KG4739" s="692"/>
      <c r="KH4739" s="695"/>
      <c r="KI4739" s="692"/>
      <c r="KJ4739" s="695"/>
      <c r="KK4739" s="692"/>
      <c r="KL4739" s="695"/>
      <c r="KM4739" s="692"/>
      <c r="KN4739" s="695"/>
      <c r="KO4739" s="692"/>
      <c r="KP4739" s="695"/>
      <c r="KQ4739" s="692"/>
      <c r="KR4739" s="695"/>
      <c r="KS4739" s="692"/>
      <c r="KT4739" s="695"/>
      <c r="KU4739" s="692"/>
      <c r="KV4739" s="695"/>
      <c r="KW4739" s="692"/>
      <c r="KX4739" s="695"/>
      <c r="KY4739" s="692"/>
      <c r="KZ4739" s="695"/>
      <c r="LA4739" s="692"/>
      <c r="LB4739" s="695"/>
      <c r="LC4739" s="692"/>
      <c r="LD4739" s="695"/>
      <c r="LE4739" s="692"/>
      <c r="LF4739" s="695"/>
      <c r="LG4739" s="692"/>
      <c r="LH4739" s="695"/>
      <c r="LI4739" s="692"/>
      <c r="LJ4739" s="695"/>
      <c r="LK4739" s="692"/>
      <c r="LL4739" s="695"/>
      <c r="LM4739" s="692"/>
      <c r="LN4739" s="695"/>
      <c r="LO4739" s="692"/>
      <c r="LP4739" s="695"/>
      <c r="LQ4739" s="692"/>
      <c r="LR4739" s="695"/>
      <c r="LS4739" s="692"/>
      <c r="LT4739" s="695"/>
      <c r="LU4739" s="692"/>
      <c r="LV4739" s="695"/>
      <c r="LW4739" s="692"/>
      <c r="LX4739" s="695"/>
      <c r="LY4739" s="692"/>
      <c r="LZ4739" s="695"/>
      <c r="MA4739" s="692"/>
      <c r="MB4739" s="695"/>
      <c r="MC4739" s="692"/>
      <c r="MD4739" s="695"/>
      <c r="ME4739" s="692"/>
      <c r="MF4739" s="695"/>
      <c r="MG4739" s="692"/>
      <c r="MH4739" s="695"/>
      <c r="MI4739" s="692"/>
      <c r="MJ4739" s="695"/>
      <c r="MK4739" s="692"/>
      <c r="ML4739" s="695"/>
      <c r="MM4739" s="692"/>
      <c r="MN4739" s="695"/>
      <c r="MO4739" s="692"/>
      <c r="MP4739" s="695"/>
      <c r="MQ4739" s="692"/>
      <c r="MR4739" s="695"/>
      <c r="MS4739" s="692"/>
      <c r="MT4739" s="695"/>
      <c r="MU4739" s="692"/>
      <c r="MV4739" s="695"/>
      <c r="MW4739" s="692"/>
      <c r="MX4739" s="695"/>
      <c r="MY4739" s="692"/>
      <c r="MZ4739" s="695"/>
      <c r="NA4739" s="692"/>
      <c r="NB4739" s="695"/>
      <c r="NC4739" s="692"/>
      <c r="ND4739" s="695"/>
      <c r="NE4739" s="692"/>
      <c r="NF4739" s="695"/>
      <c r="NG4739" s="692"/>
      <c r="NH4739" s="695"/>
      <c r="NI4739" s="692"/>
      <c r="NJ4739" s="695"/>
      <c r="NK4739" s="692"/>
      <c r="NL4739" s="695"/>
      <c r="NM4739" s="692"/>
      <c r="NN4739" s="695"/>
      <c r="NO4739" s="692"/>
      <c r="NP4739" s="695"/>
      <c r="NQ4739" s="692"/>
      <c r="NR4739" s="695"/>
      <c r="NS4739" s="692"/>
      <c r="NT4739" s="695"/>
      <c r="NU4739" s="692"/>
      <c r="NV4739" s="695"/>
      <c r="NW4739" s="692"/>
      <c r="NX4739" s="695"/>
      <c r="NY4739" s="692"/>
      <c r="NZ4739" s="695"/>
      <c r="OA4739" s="692"/>
      <c r="OB4739" s="695"/>
      <c r="OC4739" s="692"/>
      <c r="OD4739" s="695"/>
      <c r="OE4739" s="692"/>
      <c r="OF4739" s="695"/>
      <c r="OG4739" s="692"/>
      <c r="OH4739" s="695"/>
      <c r="OI4739" s="692"/>
      <c r="OJ4739" s="695"/>
      <c r="OK4739" s="692"/>
      <c r="OL4739" s="695"/>
      <c r="OM4739" s="692"/>
      <c r="ON4739" s="695"/>
      <c r="OO4739" s="692"/>
      <c r="OP4739" s="695"/>
      <c r="OQ4739" s="692"/>
      <c r="OR4739" s="695"/>
      <c r="OS4739" s="692"/>
      <c r="OT4739" s="695"/>
      <c r="OU4739" s="692"/>
      <c r="OV4739" s="695"/>
      <c r="OW4739" s="692"/>
      <c r="OX4739" s="695"/>
      <c r="OY4739" s="692"/>
      <c r="OZ4739" s="695"/>
      <c r="PA4739" s="692"/>
      <c r="PB4739" s="695"/>
      <c r="PC4739" s="692"/>
      <c r="PD4739" s="695"/>
      <c r="PE4739" s="692"/>
      <c r="PF4739" s="695"/>
      <c r="PG4739" s="692"/>
      <c r="PH4739" s="695"/>
      <c r="PI4739" s="692"/>
      <c r="PJ4739" s="695"/>
      <c r="PK4739" s="692"/>
      <c r="PL4739" s="695"/>
      <c r="PM4739" s="692"/>
      <c r="PN4739" s="695"/>
      <c r="PO4739" s="692"/>
      <c r="PP4739" s="695"/>
      <c r="PQ4739" s="692"/>
      <c r="PR4739" s="695"/>
      <c r="PS4739" s="692"/>
      <c r="PT4739" s="695"/>
      <c r="PU4739" s="692"/>
      <c r="PV4739" s="695"/>
      <c r="PW4739" s="692"/>
      <c r="PX4739" s="695"/>
      <c r="PY4739" s="692"/>
      <c r="PZ4739" s="695"/>
      <c r="QA4739" s="692"/>
      <c r="QB4739" s="695"/>
      <c r="QC4739" s="692"/>
      <c r="QD4739" s="695"/>
      <c r="QE4739" s="692"/>
      <c r="QF4739" s="695"/>
      <c r="QG4739" s="692"/>
      <c r="QH4739" s="695"/>
      <c r="QI4739" s="692"/>
      <c r="QJ4739" s="695"/>
      <c r="QK4739" s="692"/>
      <c r="QL4739" s="695"/>
      <c r="QM4739" s="692"/>
      <c r="QN4739" s="695"/>
      <c r="QO4739" s="692"/>
      <c r="QP4739" s="695"/>
      <c r="QQ4739" s="692"/>
      <c r="QR4739" s="695"/>
      <c r="QS4739" s="692"/>
      <c r="QT4739" s="695"/>
      <c r="QU4739" s="692"/>
      <c r="QV4739" s="695"/>
      <c r="QW4739" s="692"/>
      <c r="QX4739" s="695"/>
      <c r="QY4739" s="692"/>
      <c r="QZ4739" s="695"/>
      <c r="RA4739" s="692"/>
      <c r="RB4739" s="695"/>
      <c r="RC4739" s="692"/>
      <c r="RD4739" s="695"/>
      <c r="RE4739" s="692"/>
      <c r="RF4739" s="695"/>
      <c r="RG4739" s="692"/>
      <c r="RH4739" s="695"/>
      <c r="RI4739" s="692"/>
      <c r="RJ4739" s="695"/>
      <c r="RK4739" s="692"/>
      <c r="RL4739" s="695"/>
      <c r="RM4739" s="692"/>
      <c r="RN4739" s="695"/>
      <c r="RO4739" s="692"/>
      <c r="RP4739" s="695"/>
      <c r="RQ4739" s="692"/>
      <c r="RR4739" s="695"/>
      <c r="RS4739" s="692"/>
      <c r="RT4739" s="695"/>
      <c r="RU4739" s="692"/>
      <c r="RV4739" s="695"/>
      <c r="RW4739" s="692"/>
      <c r="RX4739" s="695"/>
      <c r="RY4739" s="692"/>
      <c r="RZ4739" s="695"/>
      <c r="SA4739" s="692"/>
      <c r="SB4739" s="695"/>
      <c r="SC4739" s="692"/>
      <c r="SD4739" s="695"/>
      <c r="SE4739" s="692"/>
      <c r="SF4739" s="695"/>
      <c r="SG4739" s="692"/>
      <c r="SH4739" s="695"/>
      <c r="SI4739" s="692"/>
      <c r="SJ4739" s="695"/>
      <c r="SK4739" s="692"/>
      <c r="SL4739" s="695"/>
      <c r="SM4739" s="692"/>
      <c r="SN4739" s="695"/>
      <c r="SO4739" s="692"/>
      <c r="SP4739" s="695"/>
      <c r="SQ4739" s="692"/>
      <c r="SR4739" s="695"/>
      <c r="SS4739" s="692"/>
      <c r="ST4739" s="695"/>
      <c r="SU4739" s="692"/>
      <c r="SV4739" s="695"/>
      <c r="SW4739" s="692"/>
      <c r="SX4739" s="695"/>
      <c r="SY4739" s="692"/>
      <c r="SZ4739" s="695"/>
      <c r="TA4739" s="692"/>
      <c r="TB4739" s="695"/>
      <c r="TC4739" s="692"/>
      <c r="TD4739" s="695"/>
      <c r="TE4739" s="692"/>
      <c r="TF4739" s="695"/>
      <c r="TG4739" s="692"/>
      <c r="TH4739" s="695"/>
      <c r="TI4739" s="692"/>
      <c r="TJ4739" s="695"/>
      <c r="TK4739" s="692"/>
      <c r="TL4739" s="695"/>
      <c r="TM4739" s="692"/>
      <c r="TN4739" s="695"/>
      <c r="TO4739" s="692"/>
      <c r="TP4739" s="695"/>
      <c r="TQ4739" s="692"/>
      <c r="TR4739" s="695"/>
      <c r="TS4739" s="692"/>
      <c r="TT4739" s="695"/>
      <c r="TU4739" s="692"/>
      <c r="TV4739" s="695"/>
      <c r="TW4739" s="692"/>
      <c r="TX4739" s="695"/>
      <c r="TY4739" s="692"/>
      <c r="TZ4739" s="695"/>
      <c r="UA4739" s="692"/>
      <c r="UB4739" s="695"/>
      <c r="UC4739" s="692"/>
      <c r="UD4739" s="695"/>
      <c r="UE4739" s="692"/>
      <c r="UF4739" s="695"/>
      <c r="UG4739" s="692"/>
      <c r="UH4739" s="695"/>
      <c r="UI4739" s="692"/>
      <c r="UJ4739" s="695"/>
      <c r="UK4739" s="692"/>
      <c r="UL4739" s="695"/>
      <c r="UM4739" s="692"/>
      <c r="UN4739" s="695"/>
      <c r="UO4739" s="692"/>
      <c r="UP4739" s="695"/>
      <c r="UQ4739" s="692"/>
      <c r="UR4739" s="695"/>
      <c r="US4739" s="692"/>
      <c r="UT4739" s="695"/>
      <c r="UU4739" s="692"/>
      <c r="UV4739" s="695"/>
      <c r="UW4739" s="692"/>
      <c r="UX4739" s="695"/>
      <c r="UY4739" s="692"/>
      <c r="UZ4739" s="695"/>
      <c r="VA4739" s="692"/>
      <c r="VB4739" s="695"/>
      <c r="VC4739" s="692"/>
      <c r="VD4739" s="695"/>
      <c r="VE4739" s="692"/>
      <c r="VF4739" s="695"/>
      <c r="VG4739" s="692"/>
      <c r="VH4739" s="695"/>
      <c r="VI4739" s="692"/>
      <c r="VJ4739" s="695"/>
      <c r="VK4739" s="692"/>
      <c r="VL4739" s="695"/>
      <c r="VM4739" s="692"/>
      <c r="VN4739" s="695"/>
      <c r="VO4739" s="692"/>
      <c r="VP4739" s="695"/>
      <c r="VQ4739" s="692"/>
      <c r="VR4739" s="695"/>
      <c r="VS4739" s="692"/>
      <c r="VT4739" s="695"/>
      <c r="VU4739" s="692"/>
      <c r="VV4739" s="695"/>
      <c r="VW4739" s="692"/>
      <c r="VX4739" s="695"/>
      <c r="VY4739" s="692"/>
      <c r="VZ4739" s="695"/>
      <c r="WA4739" s="692"/>
      <c r="WB4739" s="695"/>
      <c r="WC4739" s="692"/>
      <c r="WD4739" s="695"/>
      <c r="WE4739" s="692"/>
      <c r="WF4739" s="695"/>
      <c r="WG4739" s="692"/>
      <c r="WH4739" s="695"/>
      <c r="WI4739" s="692"/>
      <c r="WJ4739" s="695"/>
      <c r="WK4739" s="692"/>
      <c r="WL4739" s="695"/>
      <c r="WM4739" s="692"/>
      <c r="WN4739" s="695"/>
      <c r="WO4739" s="692"/>
      <c r="WP4739" s="695"/>
      <c r="WQ4739" s="692"/>
      <c r="WR4739" s="695"/>
      <c r="WS4739" s="692"/>
      <c r="WT4739" s="695"/>
      <c r="WU4739" s="692"/>
      <c r="WV4739" s="695"/>
      <c r="WW4739" s="692"/>
      <c r="WX4739" s="695"/>
      <c r="WY4739" s="692"/>
      <c r="WZ4739" s="695"/>
      <c r="XA4739" s="692"/>
      <c r="XB4739" s="695"/>
      <c r="XC4739" s="692"/>
      <c r="XD4739" s="695"/>
      <c r="XE4739" s="692"/>
      <c r="XF4739" s="695"/>
      <c r="XG4739" s="692"/>
      <c r="XH4739" s="695"/>
      <c r="XI4739" s="692"/>
      <c r="XJ4739" s="695"/>
      <c r="XK4739" s="692"/>
      <c r="XL4739" s="695"/>
      <c r="XM4739" s="692"/>
      <c r="XN4739" s="695"/>
      <c r="XO4739" s="692"/>
      <c r="XP4739" s="695"/>
      <c r="XQ4739" s="692"/>
      <c r="XR4739" s="695"/>
      <c r="XS4739" s="692"/>
      <c r="XT4739" s="695"/>
      <c r="XU4739" s="692"/>
      <c r="XV4739" s="695"/>
      <c r="XW4739" s="692"/>
      <c r="XX4739" s="695"/>
      <c r="XY4739" s="692"/>
      <c r="XZ4739" s="695"/>
      <c r="YA4739" s="692"/>
      <c r="YB4739" s="695"/>
      <c r="YC4739" s="692"/>
      <c r="YD4739" s="695"/>
      <c r="YE4739" s="692"/>
      <c r="YF4739" s="695"/>
      <c r="YG4739" s="692"/>
      <c r="YH4739" s="695"/>
      <c r="YI4739" s="692"/>
      <c r="YJ4739" s="695"/>
      <c r="YK4739" s="692"/>
      <c r="YL4739" s="695"/>
      <c r="YM4739" s="692"/>
      <c r="YN4739" s="695"/>
      <c r="YO4739" s="692"/>
      <c r="YP4739" s="695"/>
      <c r="YQ4739" s="692"/>
      <c r="YR4739" s="695"/>
      <c r="YS4739" s="692"/>
      <c r="YT4739" s="695"/>
      <c r="YU4739" s="692"/>
      <c r="YV4739" s="695"/>
      <c r="YW4739" s="692"/>
      <c r="YX4739" s="695"/>
      <c r="YY4739" s="692"/>
      <c r="YZ4739" s="695"/>
      <c r="ZA4739" s="692"/>
      <c r="ZB4739" s="695"/>
      <c r="ZC4739" s="692"/>
      <c r="ZD4739" s="695"/>
      <c r="ZE4739" s="692"/>
      <c r="ZF4739" s="695"/>
      <c r="ZG4739" s="692"/>
      <c r="ZH4739" s="695"/>
      <c r="ZI4739" s="692"/>
      <c r="ZJ4739" s="695"/>
      <c r="ZK4739" s="692"/>
      <c r="ZL4739" s="695"/>
      <c r="ZM4739" s="692"/>
      <c r="ZN4739" s="695"/>
      <c r="ZO4739" s="692"/>
      <c r="ZP4739" s="695"/>
      <c r="ZQ4739" s="692"/>
      <c r="ZR4739" s="695"/>
      <c r="ZS4739" s="692"/>
      <c r="ZT4739" s="695"/>
      <c r="ZU4739" s="692"/>
      <c r="ZV4739" s="695"/>
      <c r="ZW4739" s="692"/>
      <c r="ZX4739" s="695"/>
      <c r="ZY4739" s="692"/>
      <c r="ZZ4739" s="695"/>
      <c r="AAA4739" s="692"/>
      <c r="AAB4739" s="695"/>
      <c r="AAC4739" s="692"/>
      <c r="AAD4739" s="695"/>
      <c r="AAE4739" s="692"/>
      <c r="AAF4739" s="695"/>
      <c r="AAG4739" s="692"/>
      <c r="AAH4739" s="695"/>
      <c r="AAI4739" s="692"/>
      <c r="AAJ4739" s="695"/>
      <c r="AAK4739" s="692"/>
      <c r="AAL4739" s="695"/>
      <c r="AAM4739" s="692"/>
      <c r="AAN4739" s="695"/>
      <c r="AAO4739" s="692"/>
      <c r="AAP4739" s="695"/>
      <c r="AAQ4739" s="692"/>
      <c r="AAR4739" s="695"/>
      <c r="AAS4739" s="692"/>
      <c r="AAT4739" s="695"/>
      <c r="AAU4739" s="692"/>
      <c r="AAV4739" s="695"/>
      <c r="AAW4739" s="692"/>
      <c r="AAX4739" s="695"/>
      <c r="AAY4739" s="692"/>
      <c r="AAZ4739" s="695"/>
      <c r="ABA4739" s="692"/>
      <c r="ABB4739" s="695"/>
      <c r="ABC4739" s="692"/>
      <c r="ABD4739" s="695"/>
      <c r="ABE4739" s="692"/>
      <c r="ABF4739" s="695"/>
      <c r="ABG4739" s="692"/>
      <c r="ABH4739" s="695"/>
      <c r="ABI4739" s="692"/>
      <c r="ABJ4739" s="695"/>
      <c r="ABK4739" s="692"/>
      <c r="ABL4739" s="695"/>
      <c r="ABM4739" s="692"/>
      <c r="ABN4739" s="695"/>
      <c r="ABO4739" s="692"/>
      <c r="ABP4739" s="695"/>
      <c r="ABQ4739" s="692"/>
      <c r="ABR4739" s="695"/>
      <c r="ABS4739" s="692"/>
      <c r="ABT4739" s="695"/>
      <c r="ABU4739" s="692"/>
      <c r="ABV4739" s="695"/>
      <c r="ABW4739" s="692"/>
      <c r="ABX4739" s="695"/>
      <c r="ABY4739" s="692"/>
      <c r="ABZ4739" s="695"/>
      <c r="ACA4739" s="692"/>
      <c r="ACB4739" s="695"/>
      <c r="ACC4739" s="692"/>
      <c r="ACD4739" s="695"/>
      <c r="ACE4739" s="692"/>
      <c r="ACF4739" s="695"/>
      <c r="ACG4739" s="692"/>
      <c r="ACH4739" s="695"/>
      <c r="ACI4739" s="692"/>
      <c r="ACJ4739" s="695"/>
      <c r="ACK4739" s="692"/>
      <c r="ACL4739" s="695"/>
      <c r="ACM4739" s="692"/>
      <c r="ACN4739" s="695"/>
      <c r="ACO4739" s="692"/>
      <c r="ACP4739" s="695"/>
      <c r="ACQ4739" s="692"/>
      <c r="ACR4739" s="695"/>
      <c r="ACS4739" s="692"/>
      <c r="ACT4739" s="695"/>
      <c r="ACU4739" s="692"/>
      <c r="ACV4739" s="695"/>
      <c r="ACW4739" s="692"/>
      <c r="ACX4739" s="695"/>
      <c r="ACY4739" s="692"/>
      <c r="ACZ4739" s="695"/>
      <c r="ADA4739" s="692"/>
      <c r="ADB4739" s="695"/>
      <c r="ADC4739" s="692"/>
      <c r="ADD4739" s="695"/>
      <c r="ADE4739" s="692"/>
      <c r="ADF4739" s="695"/>
      <c r="ADG4739" s="692"/>
      <c r="ADH4739" s="695"/>
      <c r="ADI4739" s="692"/>
      <c r="ADJ4739" s="695"/>
      <c r="ADK4739" s="692"/>
      <c r="ADL4739" s="695"/>
      <c r="ADM4739" s="692"/>
      <c r="ADN4739" s="695"/>
      <c r="ADO4739" s="692"/>
      <c r="ADP4739" s="695"/>
      <c r="ADQ4739" s="692"/>
      <c r="ADR4739" s="695"/>
      <c r="ADS4739" s="692"/>
      <c r="ADT4739" s="695"/>
      <c r="ADU4739" s="692"/>
      <c r="ADV4739" s="695"/>
      <c r="ADW4739" s="692"/>
      <c r="ADX4739" s="695"/>
      <c r="ADY4739" s="692"/>
      <c r="ADZ4739" s="695"/>
      <c r="AEA4739" s="692"/>
      <c r="AEB4739" s="695"/>
      <c r="AEC4739" s="692"/>
      <c r="AED4739" s="695"/>
      <c r="AEE4739" s="692"/>
      <c r="AEF4739" s="695"/>
      <c r="AEG4739" s="692"/>
      <c r="AEH4739" s="695"/>
      <c r="AEI4739" s="692"/>
      <c r="AEJ4739" s="695"/>
      <c r="AEK4739" s="692"/>
      <c r="AEL4739" s="695"/>
      <c r="AEM4739" s="692"/>
      <c r="AEN4739" s="695"/>
      <c r="AEO4739" s="692"/>
      <c r="AEP4739" s="695"/>
      <c r="AEQ4739" s="692"/>
      <c r="AER4739" s="695"/>
      <c r="AES4739" s="692"/>
      <c r="AET4739" s="695"/>
      <c r="AEU4739" s="692"/>
      <c r="AEV4739" s="695"/>
      <c r="AEW4739" s="692"/>
      <c r="AEX4739" s="695"/>
      <c r="AEY4739" s="692"/>
      <c r="AEZ4739" s="695"/>
      <c r="AFA4739" s="692"/>
      <c r="AFB4739" s="695"/>
      <c r="AFC4739" s="692"/>
      <c r="AFD4739" s="695"/>
      <c r="AFE4739" s="692"/>
      <c r="AFF4739" s="695"/>
      <c r="AFG4739" s="692"/>
      <c r="AFH4739" s="695"/>
      <c r="AFI4739" s="692"/>
      <c r="AFJ4739" s="695"/>
      <c r="AFK4739" s="692"/>
      <c r="AFL4739" s="695"/>
      <c r="AFM4739" s="692"/>
      <c r="AFN4739" s="695"/>
      <c r="AFO4739" s="692"/>
      <c r="AFP4739" s="695"/>
      <c r="AFQ4739" s="692"/>
      <c r="AFR4739" s="695"/>
      <c r="AFS4739" s="692"/>
      <c r="AFT4739" s="695"/>
      <c r="AFU4739" s="692"/>
      <c r="AFV4739" s="695"/>
      <c r="AFW4739" s="692"/>
      <c r="AFX4739" s="695"/>
      <c r="AFY4739" s="692"/>
      <c r="AFZ4739" s="695"/>
      <c r="AGA4739" s="692"/>
      <c r="AGB4739" s="695"/>
      <c r="AGC4739" s="692"/>
      <c r="AGD4739" s="695"/>
      <c r="AGE4739" s="692"/>
      <c r="AGF4739" s="695"/>
      <c r="AGG4739" s="692"/>
      <c r="AGH4739" s="695"/>
      <c r="AGI4739" s="692"/>
      <c r="AGJ4739" s="695"/>
      <c r="AGK4739" s="692"/>
      <c r="AGL4739" s="695"/>
      <c r="AGM4739" s="692"/>
      <c r="AGN4739" s="695"/>
      <c r="AGO4739" s="692"/>
      <c r="AGP4739" s="695"/>
      <c r="AGQ4739" s="692"/>
      <c r="AGR4739" s="695"/>
      <c r="AGS4739" s="692"/>
      <c r="AGT4739" s="695"/>
      <c r="AGU4739" s="692"/>
      <c r="AGV4739" s="695"/>
      <c r="AGW4739" s="692"/>
      <c r="AGX4739" s="695"/>
      <c r="AGY4739" s="692"/>
      <c r="AGZ4739" s="695"/>
      <c r="AHA4739" s="692"/>
      <c r="AHB4739" s="695"/>
      <c r="AHC4739" s="692"/>
      <c r="AHD4739" s="695"/>
      <c r="AHE4739" s="692"/>
      <c r="AHF4739" s="695"/>
      <c r="AHG4739" s="692"/>
      <c r="AHH4739" s="695"/>
      <c r="AHI4739" s="692"/>
      <c r="AHJ4739" s="695"/>
      <c r="AHK4739" s="692"/>
      <c r="AHL4739" s="695"/>
      <c r="AHM4739" s="692"/>
      <c r="AHN4739" s="695"/>
      <c r="AHO4739" s="692"/>
      <c r="AHP4739" s="695"/>
      <c r="AHQ4739" s="692"/>
      <c r="AHR4739" s="695"/>
      <c r="AHS4739" s="692"/>
      <c r="AHT4739" s="695"/>
      <c r="AHU4739" s="692"/>
      <c r="AHV4739" s="695"/>
      <c r="AHW4739" s="692"/>
      <c r="AHX4739" s="695"/>
      <c r="AHY4739" s="692"/>
      <c r="AHZ4739" s="695"/>
      <c r="AIA4739" s="692"/>
      <c r="AIB4739" s="695"/>
      <c r="AIC4739" s="692"/>
      <c r="AID4739" s="695"/>
      <c r="AIE4739" s="692"/>
      <c r="AIF4739" s="695"/>
      <c r="AIG4739" s="692"/>
      <c r="AIH4739" s="695"/>
      <c r="AII4739" s="692"/>
      <c r="AIJ4739" s="695"/>
      <c r="AIK4739" s="692"/>
      <c r="AIL4739" s="695"/>
      <c r="AIM4739" s="692"/>
      <c r="AIN4739" s="695"/>
      <c r="AIO4739" s="692"/>
      <c r="AIP4739" s="695"/>
      <c r="AIQ4739" s="692"/>
      <c r="AIR4739" s="695"/>
      <c r="AIS4739" s="692"/>
      <c r="AIT4739" s="695"/>
      <c r="AIU4739" s="692"/>
      <c r="AIV4739" s="695"/>
      <c r="AIW4739" s="692"/>
      <c r="AIX4739" s="695"/>
      <c r="AIY4739" s="692"/>
      <c r="AIZ4739" s="695"/>
      <c r="AJA4739" s="692"/>
      <c r="AJB4739" s="695"/>
      <c r="AJC4739" s="692"/>
      <c r="AJD4739" s="695"/>
      <c r="AJE4739" s="692"/>
      <c r="AJF4739" s="695"/>
      <c r="AJG4739" s="692"/>
      <c r="AJH4739" s="695"/>
      <c r="AJI4739" s="692"/>
      <c r="AJJ4739" s="695"/>
      <c r="AJK4739" s="692"/>
      <c r="AJL4739" s="695"/>
      <c r="AJM4739" s="692"/>
      <c r="AJN4739" s="695"/>
      <c r="AJO4739" s="692"/>
      <c r="AJP4739" s="695"/>
      <c r="AJQ4739" s="692"/>
      <c r="AJR4739" s="695"/>
      <c r="AJS4739" s="692"/>
      <c r="AJT4739" s="695"/>
      <c r="AJU4739" s="692"/>
      <c r="AJV4739" s="695"/>
      <c r="AJW4739" s="692"/>
      <c r="AJX4739" s="695"/>
      <c r="AJY4739" s="692"/>
      <c r="AJZ4739" s="695"/>
      <c r="AKA4739" s="692"/>
      <c r="AKB4739" s="695"/>
      <c r="AKC4739" s="692"/>
      <c r="AKD4739" s="695"/>
      <c r="AKE4739" s="692"/>
      <c r="AKF4739" s="695"/>
      <c r="AKG4739" s="692"/>
      <c r="AKH4739" s="695"/>
      <c r="AKI4739" s="692"/>
      <c r="AKJ4739" s="695"/>
      <c r="AKK4739" s="692"/>
      <c r="AKL4739" s="695"/>
      <c r="AKM4739" s="692"/>
      <c r="AKN4739" s="695"/>
      <c r="AKO4739" s="692"/>
      <c r="AKP4739" s="695"/>
      <c r="AKQ4739" s="692"/>
      <c r="AKR4739" s="695"/>
      <c r="AKS4739" s="692"/>
      <c r="AKT4739" s="695"/>
      <c r="AKU4739" s="692"/>
      <c r="AKV4739" s="695"/>
      <c r="AKW4739" s="692"/>
      <c r="AKX4739" s="695"/>
      <c r="AKY4739" s="692"/>
      <c r="AKZ4739" s="695"/>
      <c r="ALA4739" s="692"/>
      <c r="ALB4739" s="695"/>
      <c r="ALC4739" s="692"/>
      <c r="ALD4739" s="695"/>
      <c r="ALE4739" s="692"/>
      <c r="ALF4739" s="695"/>
      <c r="ALG4739" s="692"/>
      <c r="ALH4739" s="695"/>
      <c r="ALI4739" s="692"/>
      <c r="ALJ4739" s="695"/>
      <c r="ALK4739" s="692"/>
      <c r="ALL4739" s="695"/>
      <c r="ALM4739" s="692"/>
      <c r="ALN4739" s="695"/>
      <c r="ALO4739" s="692"/>
      <c r="ALP4739" s="695"/>
      <c r="ALQ4739" s="692"/>
      <c r="ALR4739" s="695"/>
      <c r="ALS4739" s="692"/>
      <c r="ALT4739" s="695"/>
      <c r="ALU4739" s="692"/>
      <c r="ALV4739" s="695"/>
      <c r="ALW4739" s="692"/>
      <c r="ALX4739" s="695"/>
      <c r="ALY4739" s="692"/>
      <c r="ALZ4739" s="695"/>
      <c r="AMA4739" s="692"/>
      <c r="AMB4739" s="695"/>
      <c r="AMC4739" s="692"/>
      <c r="AMD4739" s="695"/>
      <c r="AME4739" s="692"/>
      <c r="AMF4739" s="695"/>
      <c r="AMG4739" s="692"/>
      <c r="AMH4739" s="695"/>
      <c r="AMI4739" s="692"/>
      <c r="AMJ4739" s="695"/>
      <c r="AMK4739" s="692"/>
      <c r="AML4739" s="695"/>
      <c r="AMM4739" s="692"/>
      <c r="AMN4739" s="695"/>
      <c r="AMO4739" s="692"/>
      <c r="AMP4739" s="695"/>
      <c r="AMQ4739" s="692"/>
      <c r="AMR4739" s="695"/>
      <c r="AMS4739" s="692"/>
      <c r="AMT4739" s="695"/>
      <c r="AMU4739" s="692"/>
      <c r="AMV4739" s="695"/>
      <c r="AMW4739" s="692"/>
      <c r="AMX4739" s="695"/>
      <c r="AMY4739" s="692"/>
      <c r="AMZ4739" s="695"/>
      <c r="ANA4739" s="692"/>
      <c r="ANB4739" s="695"/>
      <c r="ANC4739" s="692"/>
      <c r="AND4739" s="695"/>
      <c r="ANE4739" s="692"/>
      <c r="ANF4739" s="695"/>
      <c r="ANG4739" s="692"/>
      <c r="ANH4739" s="695"/>
      <c r="ANI4739" s="692"/>
      <c r="ANJ4739" s="695"/>
      <c r="ANK4739" s="692"/>
      <c r="ANL4739" s="695"/>
      <c r="ANM4739" s="692"/>
      <c r="ANN4739" s="695"/>
      <c r="ANO4739" s="692"/>
      <c r="ANP4739" s="695"/>
      <c r="ANQ4739" s="692"/>
      <c r="ANR4739" s="695"/>
      <c r="ANS4739" s="692"/>
      <c r="ANT4739" s="695"/>
      <c r="ANU4739" s="692"/>
      <c r="ANV4739" s="695"/>
      <c r="ANW4739" s="692"/>
      <c r="ANX4739" s="695"/>
      <c r="ANY4739" s="692"/>
      <c r="ANZ4739" s="695"/>
      <c r="AOA4739" s="692"/>
      <c r="AOB4739" s="695"/>
      <c r="AOC4739" s="692"/>
      <c r="AOD4739" s="695"/>
      <c r="AOE4739" s="692"/>
      <c r="AOF4739" s="695"/>
      <c r="AOG4739" s="692"/>
      <c r="AOH4739" s="695"/>
      <c r="AOI4739" s="692"/>
      <c r="AOJ4739" s="695"/>
      <c r="AOK4739" s="692"/>
      <c r="AOL4739" s="695"/>
      <c r="AOM4739" s="692"/>
      <c r="AON4739" s="695"/>
      <c r="AOO4739" s="692"/>
      <c r="AOP4739" s="695"/>
      <c r="AOQ4739" s="692"/>
      <c r="AOR4739" s="695"/>
      <c r="AOS4739" s="692"/>
      <c r="AOT4739" s="695"/>
      <c r="AOU4739" s="692"/>
      <c r="AOV4739" s="695"/>
      <c r="AOW4739" s="692"/>
      <c r="AOX4739" s="695"/>
      <c r="AOY4739" s="692"/>
      <c r="AOZ4739" s="695"/>
      <c r="APA4739" s="692"/>
      <c r="APB4739" s="695"/>
      <c r="APC4739" s="692"/>
      <c r="APD4739" s="695"/>
      <c r="APE4739" s="692"/>
      <c r="APF4739" s="695"/>
      <c r="APG4739" s="692"/>
      <c r="APH4739" s="695"/>
      <c r="API4739" s="692"/>
      <c r="APJ4739" s="695"/>
      <c r="APK4739" s="692"/>
      <c r="APL4739" s="695"/>
      <c r="APM4739" s="692"/>
      <c r="APN4739" s="695"/>
      <c r="APO4739" s="692"/>
      <c r="APP4739" s="695"/>
      <c r="APQ4739" s="692"/>
      <c r="APR4739" s="695"/>
      <c r="APS4739" s="692"/>
      <c r="APT4739" s="695"/>
      <c r="APU4739" s="692"/>
      <c r="APV4739" s="695"/>
      <c r="APW4739" s="692"/>
      <c r="APX4739" s="695"/>
      <c r="APY4739" s="692"/>
      <c r="APZ4739" s="695"/>
      <c r="AQA4739" s="692"/>
      <c r="AQB4739" s="695"/>
      <c r="AQC4739" s="692"/>
      <c r="AQD4739" s="695"/>
      <c r="AQE4739" s="692"/>
      <c r="AQF4739" s="695"/>
      <c r="AQG4739" s="692"/>
      <c r="AQH4739" s="695"/>
      <c r="AQI4739" s="692"/>
      <c r="AQJ4739" s="695"/>
      <c r="AQK4739" s="692"/>
      <c r="AQL4739" s="695"/>
      <c r="AQM4739" s="692"/>
      <c r="AQN4739" s="695"/>
      <c r="AQO4739" s="692"/>
      <c r="AQP4739" s="695"/>
      <c r="AQQ4739" s="692"/>
      <c r="AQR4739" s="695"/>
      <c r="AQS4739" s="692"/>
      <c r="AQT4739" s="695"/>
      <c r="AQU4739" s="692"/>
      <c r="AQV4739" s="695"/>
      <c r="AQW4739" s="692"/>
      <c r="AQX4739" s="695"/>
      <c r="AQY4739" s="692"/>
      <c r="AQZ4739" s="695"/>
      <c r="ARA4739" s="692"/>
      <c r="ARB4739" s="695"/>
      <c r="ARC4739" s="692"/>
      <c r="ARD4739" s="695"/>
      <c r="ARE4739" s="692"/>
      <c r="ARF4739" s="695"/>
      <c r="ARG4739" s="692"/>
      <c r="ARH4739" s="695"/>
      <c r="ARI4739" s="692"/>
      <c r="ARJ4739" s="695"/>
      <c r="ARK4739" s="692"/>
      <c r="ARL4739" s="695"/>
      <c r="ARM4739" s="692"/>
      <c r="ARN4739" s="695"/>
      <c r="ARO4739" s="692"/>
      <c r="ARP4739" s="695"/>
      <c r="ARQ4739" s="692"/>
      <c r="ARR4739" s="695"/>
      <c r="ARS4739" s="692"/>
      <c r="ART4739" s="695"/>
      <c r="ARU4739" s="692"/>
      <c r="ARV4739" s="695"/>
      <c r="ARW4739" s="692"/>
      <c r="ARX4739" s="695"/>
      <c r="ARY4739" s="692"/>
      <c r="ARZ4739" s="695"/>
      <c r="ASA4739" s="692"/>
      <c r="ASB4739" s="695"/>
      <c r="ASC4739" s="692"/>
      <c r="ASD4739" s="695"/>
      <c r="ASE4739" s="692"/>
      <c r="ASF4739" s="695"/>
      <c r="ASG4739" s="692"/>
      <c r="ASH4739" s="695"/>
      <c r="ASI4739" s="692"/>
      <c r="ASJ4739" s="695"/>
      <c r="ASK4739" s="692"/>
      <c r="ASL4739" s="695"/>
      <c r="ASM4739" s="692"/>
      <c r="ASN4739" s="695"/>
      <c r="ASO4739" s="692"/>
      <c r="ASP4739" s="695"/>
      <c r="ASQ4739" s="692"/>
      <c r="ASR4739" s="695"/>
      <c r="ASS4739" s="692"/>
      <c r="AST4739" s="695"/>
      <c r="ASU4739" s="692"/>
      <c r="ASV4739" s="695"/>
      <c r="ASW4739" s="692"/>
      <c r="ASX4739" s="695"/>
      <c r="ASY4739" s="692"/>
      <c r="ASZ4739" s="695"/>
      <c r="ATA4739" s="692"/>
      <c r="ATB4739" s="695"/>
      <c r="ATC4739" s="692"/>
      <c r="ATD4739" s="695"/>
      <c r="ATE4739" s="692"/>
      <c r="ATF4739" s="695"/>
      <c r="ATG4739" s="692"/>
      <c r="ATH4739" s="695"/>
      <c r="ATI4739" s="692"/>
      <c r="ATJ4739" s="695"/>
      <c r="ATK4739" s="692"/>
      <c r="ATL4739" s="695"/>
      <c r="ATM4739" s="692"/>
      <c r="ATN4739" s="695"/>
      <c r="ATO4739" s="692"/>
      <c r="ATP4739" s="695"/>
      <c r="ATQ4739" s="692"/>
      <c r="ATR4739" s="695"/>
      <c r="ATS4739" s="692"/>
      <c r="ATT4739" s="695"/>
      <c r="ATU4739" s="692"/>
      <c r="ATV4739" s="695"/>
      <c r="ATW4739" s="692"/>
      <c r="ATX4739" s="695"/>
      <c r="ATY4739" s="692"/>
      <c r="ATZ4739" s="695"/>
      <c r="AUA4739" s="692"/>
      <c r="AUB4739" s="695"/>
      <c r="AUC4739" s="692"/>
      <c r="AUD4739" s="695"/>
      <c r="AUE4739" s="692"/>
      <c r="AUF4739" s="695"/>
      <c r="AUG4739" s="692"/>
      <c r="AUH4739" s="695"/>
      <c r="AUI4739" s="692"/>
      <c r="AUJ4739" s="695"/>
      <c r="AUK4739" s="692"/>
      <c r="AUL4739" s="695"/>
      <c r="AUM4739" s="692"/>
      <c r="AUN4739" s="695"/>
      <c r="AUO4739" s="692"/>
      <c r="AUP4739" s="695"/>
      <c r="AUQ4739" s="692"/>
      <c r="AUR4739" s="695"/>
      <c r="AUS4739" s="692"/>
      <c r="AUT4739" s="695"/>
      <c r="AUU4739" s="692"/>
      <c r="AUV4739" s="695"/>
      <c r="AUW4739" s="692"/>
      <c r="AUX4739" s="695"/>
      <c r="AUY4739" s="692"/>
      <c r="AUZ4739" s="695"/>
      <c r="AVA4739" s="692"/>
      <c r="AVB4739" s="695"/>
      <c r="AVC4739" s="692"/>
      <c r="AVD4739" s="695"/>
      <c r="AVE4739" s="692"/>
      <c r="AVF4739" s="695"/>
      <c r="AVG4739" s="692"/>
      <c r="AVH4739" s="695"/>
      <c r="AVI4739" s="692"/>
      <c r="AVJ4739" s="695"/>
      <c r="AVK4739" s="692"/>
      <c r="AVL4739" s="695"/>
      <c r="AVM4739" s="692"/>
      <c r="AVN4739" s="695"/>
      <c r="AVO4739" s="692"/>
      <c r="AVP4739" s="695"/>
      <c r="AVQ4739" s="692"/>
      <c r="AVR4739" s="695"/>
      <c r="AVS4739" s="692"/>
      <c r="AVT4739" s="695"/>
      <c r="AVU4739" s="692"/>
      <c r="AVV4739" s="695"/>
      <c r="AVW4739" s="692"/>
      <c r="AVX4739" s="695"/>
      <c r="AVY4739" s="692"/>
      <c r="AVZ4739" s="695"/>
      <c r="AWA4739" s="692"/>
      <c r="AWB4739" s="695"/>
      <c r="AWC4739" s="692"/>
      <c r="AWD4739" s="695"/>
      <c r="AWE4739" s="692"/>
      <c r="AWF4739" s="695"/>
      <c r="AWG4739" s="692"/>
      <c r="AWH4739" s="695"/>
      <c r="AWI4739" s="692"/>
      <c r="AWJ4739" s="695"/>
      <c r="AWK4739" s="692"/>
      <c r="AWL4739" s="695"/>
      <c r="AWM4739" s="692"/>
      <c r="AWN4739" s="695"/>
      <c r="AWO4739" s="692"/>
      <c r="AWP4739" s="695"/>
      <c r="AWQ4739" s="692"/>
      <c r="AWR4739" s="695"/>
      <c r="AWS4739" s="692"/>
      <c r="AWT4739" s="695"/>
      <c r="AWU4739" s="692"/>
      <c r="AWV4739" s="695"/>
      <c r="AWW4739" s="692"/>
      <c r="AWX4739" s="695"/>
      <c r="AWY4739" s="692"/>
      <c r="AWZ4739" s="695"/>
      <c r="AXA4739" s="692"/>
      <c r="AXB4739" s="695"/>
      <c r="AXC4739" s="692"/>
      <c r="AXD4739" s="695"/>
      <c r="AXE4739" s="692"/>
      <c r="AXF4739" s="695"/>
      <c r="AXG4739" s="692"/>
      <c r="AXH4739" s="695"/>
      <c r="AXI4739" s="692"/>
      <c r="AXJ4739" s="695"/>
      <c r="AXK4739" s="692"/>
      <c r="AXL4739" s="695"/>
      <c r="AXM4739" s="692"/>
      <c r="AXN4739" s="695"/>
      <c r="AXO4739" s="692"/>
      <c r="AXP4739" s="695"/>
      <c r="AXQ4739" s="692"/>
      <c r="AXR4739" s="695"/>
      <c r="AXS4739" s="692"/>
      <c r="AXT4739" s="695"/>
      <c r="AXU4739" s="692"/>
      <c r="AXV4739" s="695"/>
      <c r="AXW4739" s="692"/>
      <c r="AXX4739" s="695"/>
      <c r="AXY4739" s="692"/>
      <c r="AXZ4739" s="695"/>
      <c r="AYA4739" s="692"/>
      <c r="AYB4739" s="695"/>
      <c r="AYC4739" s="692"/>
      <c r="AYD4739" s="695"/>
      <c r="AYE4739" s="692"/>
      <c r="AYF4739" s="695"/>
      <c r="AYG4739" s="692"/>
      <c r="AYH4739" s="695"/>
      <c r="AYI4739" s="692"/>
      <c r="AYJ4739" s="695"/>
      <c r="AYK4739" s="692"/>
      <c r="AYL4739" s="695"/>
      <c r="AYM4739" s="692"/>
      <c r="AYN4739" s="695"/>
      <c r="AYO4739" s="692"/>
      <c r="AYP4739" s="695"/>
      <c r="AYQ4739" s="692"/>
      <c r="AYR4739" s="695"/>
      <c r="AYS4739" s="692"/>
      <c r="AYT4739" s="695"/>
      <c r="AYU4739" s="692"/>
      <c r="AYV4739" s="695"/>
      <c r="AYW4739" s="692"/>
      <c r="AYX4739" s="695"/>
      <c r="AYY4739" s="692"/>
      <c r="AYZ4739" s="695"/>
      <c r="AZA4739" s="692"/>
      <c r="AZB4739" s="695"/>
      <c r="AZC4739" s="692"/>
      <c r="AZD4739" s="695"/>
      <c r="AZE4739" s="692"/>
      <c r="AZF4739" s="695"/>
      <c r="AZG4739" s="692"/>
      <c r="AZH4739" s="695"/>
      <c r="AZI4739" s="692"/>
      <c r="AZJ4739" s="695"/>
      <c r="AZK4739" s="692"/>
      <c r="AZL4739" s="695"/>
      <c r="AZM4739" s="692"/>
      <c r="AZN4739" s="695"/>
      <c r="AZO4739" s="692"/>
      <c r="AZP4739" s="695"/>
      <c r="AZQ4739" s="692"/>
      <c r="AZR4739" s="695"/>
      <c r="AZS4739" s="692"/>
      <c r="AZT4739" s="695"/>
      <c r="AZU4739" s="692"/>
      <c r="AZV4739" s="695"/>
      <c r="AZW4739" s="692"/>
      <c r="AZX4739" s="695"/>
      <c r="AZY4739" s="692"/>
      <c r="AZZ4739" s="695"/>
      <c r="BAA4739" s="692"/>
      <c r="BAB4739" s="695"/>
      <c r="BAC4739" s="692"/>
      <c r="BAD4739" s="695"/>
      <c r="BAE4739" s="692"/>
      <c r="BAF4739" s="695"/>
      <c r="BAG4739" s="692"/>
      <c r="BAH4739" s="695"/>
      <c r="BAI4739" s="692"/>
      <c r="BAJ4739" s="695"/>
      <c r="BAK4739" s="692"/>
      <c r="BAL4739" s="695"/>
      <c r="BAM4739" s="692"/>
      <c r="BAN4739" s="695"/>
      <c r="BAO4739" s="692"/>
      <c r="BAP4739" s="695"/>
      <c r="BAQ4739" s="692"/>
      <c r="BAR4739" s="695"/>
      <c r="BAS4739" s="692"/>
      <c r="BAT4739" s="695"/>
      <c r="BAU4739" s="692"/>
      <c r="BAV4739" s="695"/>
      <c r="BAW4739" s="692"/>
      <c r="BAX4739" s="695"/>
      <c r="BAY4739" s="692"/>
      <c r="BAZ4739" s="695"/>
      <c r="BBA4739" s="692"/>
      <c r="BBB4739" s="695"/>
      <c r="BBC4739" s="692"/>
      <c r="BBD4739" s="695"/>
      <c r="BBE4739" s="692"/>
      <c r="BBF4739" s="695"/>
      <c r="BBG4739" s="692"/>
      <c r="BBH4739" s="695"/>
      <c r="BBI4739" s="692"/>
      <c r="BBJ4739" s="695"/>
      <c r="BBK4739" s="692"/>
      <c r="BBL4739" s="695"/>
      <c r="BBM4739" s="692"/>
      <c r="BBN4739" s="695"/>
      <c r="BBO4739" s="692"/>
      <c r="BBP4739" s="695"/>
      <c r="BBQ4739" s="692"/>
      <c r="BBR4739" s="695"/>
      <c r="BBS4739" s="692"/>
      <c r="BBT4739" s="695"/>
      <c r="BBU4739" s="692"/>
      <c r="BBV4739" s="695"/>
      <c r="BBW4739" s="692"/>
      <c r="BBX4739" s="695"/>
      <c r="BBY4739" s="692"/>
      <c r="BBZ4739" s="695"/>
      <c r="BCA4739" s="692"/>
      <c r="BCB4739" s="695"/>
      <c r="BCC4739" s="692"/>
      <c r="BCD4739" s="695"/>
      <c r="BCE4739" s="692"/>
      <c r="BCF4739" s="695"/>
      <c r="BCG4739" s="692"/>
      <c r="BCH4739" s="695"/>
      <c r="BCI4739" s="692"/>
      <c r="BCJ4739" s="695"/>
      <c r="BCK4739" s="692"/>
      <c r="BCL4739" s="695"/>
      <c r="BCM4739" s="692"/>
      <c r="BCN4739" s="695"/>
      <c r="BCO4739" s="692"/>
      <c r="BCP4739" s="695"/>
      <c r="BCQ4739" s="692"/>
      <c r="BCR4739" s="695"/>
      <c r="BCS4739" s="692"/>
      <c r="BCT4739" s="695"/>
      <c r="BCU4739" s="692"/>
      <c r="BCV4739" s="695"/>
      <c r="BCW4739" s="692"/>
      <c r="BCX4739" s="695"/>
      <c r="BCY4739" s="692"/>
      <c r="BCZ4739" s="695"/>
      <c r="BDA4739" s="692"/>
      <c r="BDB4739" s="695"/>
      <c r="BDC4739" s="692"/>
      <c r="BDD4739" s="695"/>
      <c r="BDE4739" s="692"/>
      <c r="BDF4739" s="695"/>
      <c r="BDG4739" s="692"/>
      <c r="BDH4739" s="695"/>
      <c r="BDI4739" s="692"/>
      <c r="BDJ4739" s="695"/>
      <c r="BDK4739" s="692"/>
      <c r="BDL4739" s="695"/>
      <c r="BDM4739" s="692"/>
      <c r="BDN4739" s="695"/>
      <c r="BDO4739" s="692"/>
      <c r="BDP4739" s="695"/>
      <c r="BDQ4739" s="692"/>
      <c r="BDR4739" s="695"/>
      <c r="BDS4739" s="692"/>
      <c r="BDT4739" s="695"/>
      <c r="BDU4739" s="692"/>
      <c r="BDV4739" s="695"/>
      <c r="BDW4739" s="692"/>
      <c r="BDX4739" s="695"/>
      <c r="BDY4739" s="692"/>
      <c r="BDZ4739" s="695"/>
      <c r="BEA4739" s="692"/>
      <c r="BEB4739" s="695"/>
      <c r="BEC4739" s="692"/>
      <c r="BED4739" s="695"/>
      <c r="BEE4739" s="692"/>
      <c r="BEF4739" s="695"/>
      <c r="BEG4739" s="692"/>
      <c r="BEH4739" s="695"/>
      <c r="BEI4739" s="692"/>
      <c r="BEJ4739" s="695"/>
      <c r="BEK4739" s="692"/>
      <c r="BEL4739" s="695"/>
      <c r="BEM4739" s="692"/>
      <c r="BEN4739" s="695"/>
      <c r="BEO4739" s="692"/>
      <c r="BEP4739" s="695"/>
      <c r="BEQ4739" s="692"/>
      <c r="BER4739" s="695"/>
      <c r="BES4739" s="692"/>
      <c r="BET4739" s="695"/>
      <c r="BEU4739" s="692"/>
      <c r="BEV4739" s="695"/>
      <c r="BEW4739" s="692"/>
      <c r="BEX4739" s="695"/>
      <c r="BEY4739" s="692"/>
      <c r="BEZ4739" s="695"/>
      <c r="BFA4739" s="692"/>
      <c r="BFB4739" s="695"/>
      <c r="BFC4739" s="692"/>
      <c r="BFD4739" s="695"/>
      <c r="BFE4739" s="692"/>
      <c r="BFF4739" s="695"/>
      <c r="BFG4739" s="692"/>
      <c r="BFH4739" s="695"/>
      <c r="BFI4739" s="692"/>
      <c r="BFJ4739" s="695"/>
      <c r="BFK4739" s="692"/>
      <c r="BFL4739" s="695"/>
      <c r="BFM4739" s="692"/>
      <c r="BFN4739" s="695"/>
      <c r="BFO4739" s="692"/>
      <c r="BFP4739" s="695"/>
      <c r="BFQ4739" s="692"/>
      <c r="BFR4739" s="695"/>
      <c r="BFS4739" s="692"/>
      <c r="BFT4739" s="695"/>
      <c r="BFU4739" s="692"/>
      <c r="BFV4739" s="695"/>
      <c r="BFW4739" s="692"/>
      <c r="BFX4739" s="695"/>
      <c r="BFY4739" s="692"/>
      <c r="BFZ4739" s="695"/>
      <c r="BGA4739" s="692"/>
      <c r="BGB4739" s="695"/>
      <c r="BGC4739" s="692"/>
      <c r="BGD4739" s="695"/>
      <c r="BGE4739" s="692"/>
      <c r="BGF4739" s="695"/>
      <c r="BGG4739" s="692"/>
      <c r="BGH4739" s="695"/>
      <c r="BGI4739" s="692"/>
      <c r="BGJ4739" s="695"/>
      <c r="BGK4739" s="692"/>
      <c r="BGL4739" s="695"/>
      <c r="BGM4739" s="692"/>
      <c r="BGN4739" s="695"/>
      <c r="BGO4739" s="692"/>
      <c r="BGP4739" s="695"/>
      <c r="BGQ4739" s="692"/>
      <c r="BGR4739" s="695"/>
      <c r="BGS4739" s="692"/>
      <c r="BGT4739" s="695"/>
      <c r="BGU4739" s="692"/>
      <c r="BGV4739" s="695"/>
      <c r="BGW4739" s="692"/>
      <c r="BGX4739" s="695"/>
      <c r="BGY4739" s="692"/>
      <c r="BGZ4739" s="695"/>
      <c r="BHA4739" s="692"/>
      <c r="BHB4739" s="695"/>
      <c r="BHC4739" s="692"/>
      <c r="BHD4739" s="695"/>
      <c r="BHE4739" s="692"/>
      <c r="BHF4739" s="695"/>
      <c r="BHG4739" s="692"/>
      <c r="BHH4739" s="695"/>
      <c r="BHI4739" s="692"/>
      <c r="BHJ4739" s="695"/>
      <c r="BHK4739" s="692"/>
      <c r="BHL4739" s="695"/>
      <c r="BHM4739" s="692"/>
      <c r="BHN4739" s="695"/>
      <c r="BHO4739" s="692"/>
      <c r="BHP4739" s="695"/>
      <c r="BHQ4739" s="692"/>
      <c r="BHR4739" s="695"/>
      <c r="BHS4739" s="692"/>
      <c r="BHT4739" s="695"/>
      <c r="BHU4739" s="692"/>
      <c r="BHV4739" s="695"/>
      <c r="BHW4739" s="692"/>
      <c r="BHX4739" s="695"/>
      <c r="BHY4739" s="692"/>
      <c r="BHZ4739" s="695"/>
      <c r="BIA4739" s="692"/>
      <c r="BIB4739" s="695"/>
      <c r="BIC4739" s="692"/>
      <c r="BID4739" s="695"/>
      <c r="BIE4739" s="692"/>
      <c r="BIF4739" s="695"/>
      <c r="BIG4739" s="692"/>
      <c r="BIH4739" s="695"/>
      <c r="BII4739" s="692"/>
      <c r="BIJ4739" s="695"/>
      <c r="BIK4739" s="692"/>
      <c r="BIL4739" s="695"/>
      <c r="BIM4739" s="692"/>
      <c r="BIN4739" s="695"/>
      <c r="BIO4739" s="692"/>
      <c r="BIP4739" s="695"/>
      <c r="BIQ4739" s="692"/>
      <c r="BIR4739" s="695"/>
      <c r="BIS4739" s="692"/>
      <c r="BIT4739" s="695"/>
      <c r="BIU4739" s="692"/>
      <c r="BIV4739" s="695"/>
      <c r="BIW4739" s="692"/>
      <c r="BIX4739" s="695"/>
      <c r="BIY4739" s="692"/>
      <c r="BIZ4739" s="695"/>
      <c r="BJA4739" s="692"/>
      <c r="BJB4739" s="695"/>
      <c r="BJC4739" s="692"/>
      <c r="BJD4739" s="695"/>
      <c r="BJE4739" s="692"/>
      <c r="BJF4739" s="695"/>
      <c r="BJG4739" s="692"/>
      <c r="BJH4739" s="695"/>
      <c r="BJI4739" s="692"/>
      <c r="BJJ4739" s="695"/>
      <c r="BJK4739" s="692"/>
      <c r="BJL4739" s="695"/>
      <c r="BJM4739" s="692"/>
      <c r="BJN4739" s="695"/>
      <c r="BJO4739" s="692"/>
      <c r="BJP4739" s="695"/>
      <c r="BJQ4739" s="692"/>
      <c r="BJR4739" s="695"/>
      <c r="BJS4739" s="692"/>
      <c r="BJT4739" s="695"/>
      <c r="BJU4739" s="692"/>
      <c r="BJV4739" s="695"/>
      <c r="BJW4739" s="692"/>
      <c r="BJX4739" s="695"/>
      <c r="BJY4739" s="692"/>
      <c r="BJZ4739" s="695"/>
      <c r="BKA4739" s="692"/>
      <c r="BKB4739" s="695"/>
      <c r="BKC4739" s="692"/>
      <c r="BKD4739" s="695"/>
      <c r="BKE4739" s="692"/>
      <c r="BKF4739" s="695"/>
      <c r="BKG4739" s="692"/>
      <c r="BKH4739" s="695"/>
      <c r="BKI4739" s="692"/>
      <c r="BKJ4739" s="695"/>
      <c r="BKK4739" s="692"/>
      <c r="BKL4739" s="695"/>
      <c r="BKM4739" s="692"/>
      <c r="BKN4739" s="695"/>
      <c r="BKO4739" s="692"/>
      <c r="BKP4739" s="695"/>
      <c r="BKQ4739" s="692"/>
      <c r="BKR4739" s="695"/>
      <c r="BKS4739" s="692"/>
      <c r="BKT4739" s="695"/>
      <c r="BKU4739" s="692"/>
      <c r="BKV4739" s="695"/>
      <c r="BKW4739" s="692"/>
      <c r="BKX4739" s="695"/>
      <c r="BKY4739" s="692"/>
      <c r="BKZ4739" s="695"/>
      <c r="BLA4739" s="692"/>
      <c r="BLB4739" s="695"/>
      <c r="BLC4739" s="692"/>
      <c r="BLD4739" s="695"/>
      <c r="BLE4739" s="692"/>
      <c r="BLF4739" s="695"/>
      <c r="BLG4739" s="692"/>
      <c r="BLH4739" s="695"/>
      <c r="BLI4739" s="692"/>
      <c r="BLJ4739" s="695"/>
      <c r="BLK4739" s="692"/>
      <c r="BLL4739" s="695"/>
      <c r="BLM4739" s="692"/>
      <c r="BLN4739" s="695"/>
      <c r="BLO4739" s="692"/>
      <c r="BLP4739" s="695"/>
      <c r="BLQ4739" s="692"/>
      <c r="BLR4739" s="695"/>
      <c r="BLS4739" s="692"/>
      <c r="BLT4739" s="695"/>
      <c r="BLU4739" s="692"/>
      <c r="BLV4739" s="695"/>
      <c r="BLW4739" s="692"/>
      <c r="BLX4739" s="695"/>
      <c r="BLY4739" s="692"/>
      <c r="BLZ4739" s="695"/>
      <c r="BMA4739" s="692"/>
      <c r="BMB4739" s="695"/>
      <c r="BMC4739" s="692"/>
      <c r="BMD4739" s="695"/>
      <c r="BME4739" s="692"/>
      <c r="BMF4739" s="695"/>
      <c r="BMG4739" s="692"/>
      <c r="BMH4739" s="695"/>
      <c r="BMI4739" s="692"/>
      <c r="BMJ4739" s="695"/>
      <c r="BMK4739" s="692"/>
      <c r="BML4739" s="695"/>
      <c r="BMM4739" s="692"/>
      <c r="BMN4739" s="695"/>
      <c r="BMO4739" s="692"/>
      <c r="BMP4739" s="695"/>
      <c r="BMQ4739" s="692"/>
      <c r="BMR4739" s="695"/>
      <c r="BMS4739" s="692"/>
      <c r="BMT4739" s="695"/>
      <c r="BMU4739" s="692"/>
      <c r="BMV4739" s="695"/>
      <c r="BMW4739" s="692"/>
      <c r="BMX4739" s="695"/>
      <c r="BMY4739" s="692"/>
      <c r="BMZ4739" s="695"/>
      <c r="BNA4739" s="692"/>
      <c r="BNB4739" s="695"/>
      <c r="BNC4739" s="692"/>
      <c r="BND4739" s="695"/>
      <c r="BNE4739" s="692"/>
      <c r="BNF4739" s="695"/>
      <c r="BNG4739" s="692"/>
      <c r="BNH4739" s="695"/>
      <c r="BNI4739" s="692"/>
      <c r="BNJ4739" s="695"/>
      <c r="BNK4739" s="692"/>
      <c r="BNL4739" s="695"/>
      <c r="BNM4739" s="692"/>
      <c r="BNN4739" s="695"/>
      <c r="BNO4739" s="692"/>
      <c r="BNP4739" s="695"/>
      <c r="BNQ4739" s="692"/>
      <c r="BNR4739" s="695"/>
      <c r="BNS4739" s="692"/>
      <c r="BNT4739" s="695"/>
      <c r="BNU4739" s="692"/>
      <c r="BNV4739" s="695"/>
      <c r="BNW4739" s="692"/>
      <c r="BNX4739" s="695"/>
      <c r="BNY4739" s="692"/>
      <c r="BNZ4739" s="695"/>
      <c r="BOA4739" s="692"/>
      <c r="BOB4739" s="695"/>
      <c r="BOC4739" s="692"/>
      <c r="BOD4739" s="695"/>
      <c r="BOE4739" s="692"/>
      <c r="BOF4739" s="695"/>
      <c r="BOG4739" s="692"/>
      <c r="BOH4739" s="695"/>
      <c r="BOI4739" s="692"/>
      <c r="BOJ4739" s="695"/>
      <c r="BOK4739" s="692"/>
      <c r="BOL4739" s="695"/>
      <c r="BOM4739" s="692"/>
      <c r="BON4739" s="695"/>
      <c r="BOO4739" s="692"/>
      <c r="BOP4739" s="695"/>
      <c r="BOQ4739" s="692"/>
      <c r="BOR4739" s="695"/>
      <c r="BOS4739" s="692"/>
      <c r="BOT4739" s="695"/>
      <c r="BOU4739" s="692"/>
      <c r="BOV4739" s="695"/>
      <c r="BOW4739" s="692"/>
      <c r="BOX4739" s="695"/>
      <c r="BOY4739" s="692"/>
      <c r="BOZ4739" s="695"/>
      <c r="BPA4739" s="692"/>
      <c r="BPB4739" s="695"/>
      <c r="BPC4739" s="692"/>
      <c r="BPD4739" s="695"/>
      <c r="BPE4739" s="692"/>
      <c r="BPF4739" s="695"/>
      <c r="BPG4739" s="692"/>
      <c r="BPH4739" s="695"/>
      <c r="BPI4739" s="692"/>
      <c r="BPJ4739" s="695"/>
      <c r="BPK4739" s="692"/>
      <c r="BPL4739" s="695"/>
      <c r="BPM4739" s="692"/>
      <c r="BPN4739" s="695"/>
      <c r="BPO4739" s="692"/>
      <c r="BPP4739" s="695"/>
      <c r="BPQ4739" s="692"/>
      <c r="BPR4739" s="695"/>
      <c r="BPS4739" s="692"/>
      <c r="BPT4739" s="695"/>
      <c r="BPU4739" s="692"/>
      <c r="BPV4739" s="695"/>
      <c r="BPW4739" s="692"/>
      <c r="BPX4739" s="695"/>
      <c r="BPY4739" s="692"/>
      <c r="BPZ4739" s="695"/>
      <c r="BQA4739" s="692"/>
      <c r="BQB4739" s="695"/>
      <c r="BQC4739" s="692"/>
      <c r="BQD4739" s="695"/>
      <c r="BQE4739" s="692"/>
      <c r="BQF4739" s="695"/>
      <c r="BQG4739" s="692"/>
      <c r="BQH4739" s="695"/>
      <c r="BQI4739" s="692"/>
      <c r="BQJ4739" s="695"/>
      <c r="BQK4739" s="692"/>
      <c r="BQL4739" s="695"/>
      <c r="BQM4739" s="692"/>
      <c r="BQN4739" s="695"/>
      <c r="BQO4739" s="692"/>
      <c r="BQP4739" s="695"/>
      <c r="BQQ4739" s="692"/>
      <c r="BQR4739" s="695"/>
      <c r="BQS4739" s="692"/>
      <c r="BQT4739" s="695"/>
      <c r="BQU4739" s="692"/>
      <c r="BQV4739" s="695"/>
      <c r="BQW4739" s="692"/>
      <c r="BQX4739" s="695"/>
      <c r="BQY4739" s="692"/>
      <c r="BQZ4739" s="695"/>
      <c r="BRA4739" s="692"/>
      <c r="BRB4739" s="695"/>
      <c r="BRC4739" s="692"/>
      <c r="BRD4739" s="695"/>
      <c r="BRE4739" s="692"/>
      <c r="BRF4739" s="695"/>
      <c r="BRG4739" s="692"/>
      <c r="BRH4739" s="695"/>
      <c r="BRI4739" s="692"/>
      <c r="BRJ4739" s="695"/>
      <c r="BRK4739" s="692"/>
      <c r="BRL4739" s="695"/>
      <c r="BRM4739" s="692"/>
      <c r="BRN4739" s="695"/>
      <c r="BRO4739" s="692"/>
      <c r="BRP4739" s="695"/>
      <c r="BRQ4739" s="692"/>
      <c r="BRR4739" s="695"/>
      <c r="BRS4739" s="692"/>
      <c r="BRT4739" s="695"/>
      <c r="BRU4739" s="692"/>
      <c r="BRV4739" s="695"/>
      <c r="BRW4739" s="692"/>
      <c r="BRX4739" s="695"/>
      <c r="BRY4739" s="692"/>
      <c r="BRZ4739" s="695"/>
      <c r="BSA4739" s="692"/>
      <c r="BSB4739" s="695"/>
      <c r="BSC4739" s="692"/>
      <c r="BSD4739" s="695"/>
      <c r="BSE4739" s="692"/>
      <c r="BSF4739" s="695"/>
      <c r="BSG4739" s="692"/>
      <c r="BSH4739" s="695"/>
      <c r="BSI4739" s="692"/>
      <c r="BSJ4739" s="695"/>
      <c r="BSK4739" s="692"/>
      <c r="BSL4739" s="695"/>
      <c r="BSM4739" s="692"/>
      <c r="BSN4739" s="695"/>
      <c r="BSO4739" s="692"/>
      <c r="BSP4739" s="695"/>
      <c r="BSQ4739" s="692"/>
      <c r="BSR4739" s="695"/>
      <c r="BSS4739" s="692"/>
      <c r="BST4739" s="695"/>
      <c r="BSU4739" s="692"/>
      <c r="BSV4739" s="695"/>
      <c r="BSW4739" s="692"/>
      <c r="BSX4739" s="695"/>
      <c r="BSY4739" s="692"/>
      <c r="BSZ4739" s="695"/>
      <c r="BTA4739" s="692"/>
      <c r="BTB4739" s="695"/>
      <c r="BTC4739" s="692"/>
      <c r="BTD4739" s="695"/>
      <c r="BTE4739" s="692"/>
      <c r="BTF4739" s="695"/>
      <c r="BTG4739" s="692"/>
      <c r="BTH4739" s="695"/>
      <c r="BTI4739" s="692"/>
      <c r="BTJ4739" s="695"/>
      <c r="BTK4739" s="692"/>
      <c r="BTL4739" s="695"/>
      <c r="BTM4739" s="692"/>
      <c r="BTN4739" s="695"/>
      <c r="BTO4739" s="692"/>
      <c r="BTP4739" s="695"/>
      <c r="BTQ4739" s="692"/>
      <c r="BTR4739" s="695"/>
      <c r="BTS4739" s="692"/>
      <c r="BTT4739" s="695"/>
      <c r="BTU4739" s="692"/>
      <c r="BTV4739" s="695"/>
      <c r="BTW4739" s="692"/>
      <c r="BTX4739" s="695"/>
      <c r="BTY4739" s="692"/>
      <c r="BTZ4739" s="695"/>
      <c r="BUA4739" s="692"/>
      <c r="BUB4739" s="695"/>
      <c r="BUC4739" s="692"/>
      <c r="BUD4739" s="695"/>
      <c r="BUE4739" s="692"/>
      <c r="BUF4739" s="695"/>
      <c r="BUG4739" s="692"/>
      <c r="BUH4739" s="695"/>
      <c r="BUI4739" s="692"/>
      <c r="BUJ4739" s="695"/>
      <c r="BUK4739" s="692"/>
      <c r="BUL4739" s="695"/>
      <c r="BUM4739" s="692"/>
      <c r="BUN4739" s="695"/>
      <c r="BUO4739" s="692"/>
      <c r="BUP4739" s="695"/>
      <c r="BUQ4739" s="692"/>
      <c r="BUR4739" s="695"/>
      <c r="BUS4739" s="692"/>
      <c r="BUT4739" s="695"/>
      <c r="BUU4739" s="692"/>
      <c r="BUV4739" s="695"/>
      <c r="BUW4739" s="692"/>
      <c r="BUX4739" s="695"/>
      <c r="BUY4739" s="692"/>
      <c r="BUZ4739" s="695"/>
      <c r="BVA4739" s="692"/>
      <c r="BVB4739" s="695"/>
      <c r="BVC4739" s="692"/>
      <c r="BVD4739" s="695"/>
      <c r="BVE4739" s="692"/>
      <c r="BVF4739" s="695"/>
      <c r="BVG4739" s="692"/>
      <c r="BVH4739" s="695"/>
      <c r="BVI4739" s="692"/>
      <c r="BVJ4739" s="695"/>
      <c r="BVK4739" s="692"/>
      <c r="BVL4739" s="695"/>
      <c r="BVM4739" s="692"/>
      <c r="BVN4739" s="695"/>
      <c r="BVO4739" s="692"/>
      <c r="BVP4739" s="695"/>
      <c r="BVQ4739" s="692"/>
      <c r="BVR4739" s="695"/>
      <c r="BVS4739" s="692"/>
      <c r="BVT4739" s="695"/>
      <c r="BVU4739" s="692"/>
      <c r="BVV4739" s="695"/>
      <c r="BVW4739" s="692"/>
      <c r="BVX4739" s="695"/>
      <c r="BVY4739" s="692"/>
      <c r="BVZ4739" s="695"/>
      <c r="BWA4739" s="692"/>
      <c r="BWB4739" s="695"/>
      <c r="BWC4739" s="692"/>
      <c r="BWD4739" s="695"/>
      <c r="BWE4739" s="692"/>
      <c r="BWF4739" s="695"/>
      <c r="BWG4739" s="692"/>
      <c r="BWH4739" s="695"/>
      <c r="BWI4739" s="692"/>
      <c r="BWJ4739" s="695"/>
      <c r="BWK4739" s="692"/>
      <c r="BWL4739" s="695"/>
      <c r="BWM4739" s="692"/>
      <c r="BWN4739" s="695"/>
      <c r="BWO4739" s="692"/>
      <c r="BWP4739" s="695"/>
      <c r="BWQ4739" s="692"/>
      <c r="BWR4739" s="695"/>
      <c r="BWS4739" s="692"/>
      <c r="BWT4739" s="695"/>
      <c r="BWU4739" s="692"/>
      <c r="BWV4739" s="695"/>
      <c r="BWW4739" s="692"/>
      <c r="BWX4739" s="695"/>
      <c r="BWY4739" s="692"/>
      <c r="BWZ4739" s="695"/>
      <c r="BXA4739" s="692"/>
      <c r="BXB4739" s="695"/>
      <c r="BXC4739" s="692"/>
      <c r="BXD4739" s="695"/>
      <c r="BXE4739" s="692"/>
      <c r="BXF4739" s="695"/>
      <c r="BXG4739" s="692"/>
      <c r="BXH4739" s="695"/>
      <c r="BXI4739" s="692"/>
      <c r="BXJ4739" s="695"/>
      <c r="BXK4739" s="692"/>
      <c r="BXL4739" s="695"/>
      <c r="BXM4739" s="692"/>
      <c r="BXN4739" s="695"/>
      <c r="BXO4739" s="692"/>
      <c r="BXP4739" s="695"/>
      <c r="BXQ4739" s="692"/>
      <c r="BXR4739" s="695"/>
      <c r="BXS4739" s="692"/>
      <c r="BXT4739" s="695"/>
      <c r="BXU4739" s="692"/>
      <c r="BXV4739" s="695"/>
      <c r="BXW4739" s="692"/>
      <c r="BXX4739" s="695"/>
      <c r="BXY4739" s="692"/>
      <c r="BXZ4739" s="695"/>
      <c r="BYA4739" s="692"/>
      <c r="BYB4739" s="695"/>
      <c r="BYC4739" s="692"/>
      <c r="BYD4739" s="695"/>
      <c r="BYE4739" s="692"/>
      <c r="BYF4739" s="695"/>
      <c r="BYG4739" s="692"/>
      <c r="BYH4739" s="695"/>
      <c r="BYI4739" s="692"/>
      <c r="BYJ4739" s="695"/>
      <c r="BYK4739" s="692"/>
      <c r="BYL4739" s="695"/>
      <c r="BYM4739" s="692"/>
      <c r="BYN4739" s="695"/>
      <c r="BYO4739" s="692"/>
      <c r="BYP4739" s="695"/>
      <c r="BYQ4739" s="692"/>
      <c r="BYR4739" s="695"/>
      <c r="BYS4739" s="692"/>
      <c r="BYT4739" s="695"/>
      <c r="BYU4739" s="692"/>
      <c r="BYV4739" s="695"/>
      <c r="BYW4739" s="692"/>
      <c r="BYX4739" s="695"/>
      <c r="BYY4739" s="692"/>
      <c r="BYZ4739" s="695"/>
      <c r="BZA4739" s="692"/>
      <c r="BZB4739" s="695"/>
      <c r="BZC4739" s="692"/>
      <c r="BZD4739" s="695"/>
      <c r="BZE4739" s="692"/>
      <c r="BZF4739" s="695"/>
      <c r="BZG4739" s="692"/>
      <c r="BZH4739" s="695"/>
      <c r="BZI4739" s="692"/>
      <c r="BZJ4739" s="695"/>
      <c r="BZK4739" s="692"/>
      <c r="BZL4739" s="695"/>
      <c r="BZM4739" s="692"/>
      <c r="BZN4739" s="695"/>
      <c r="BZO4739" s="692"/>
      <c r="BZP4739" s="695"/>
      <c r="BZQ4739" s="692"/>
      <c r="BZR4739" s="695"/>
      <c r="BZS4739" s="692"/>
      <c r="BZT4739" s="695"/>
      <c r="BZU4739" s="692"/>
      <c r="BZV4739" s="695"/>
      <c r="BZW4739" s="692"/>
      <c r="BZX4739" s="695"/>
      <c r="BZY4739" s="692"/>
      <c r="BZZ4739" s="695"/>
      <c r="CAA4739" s="692"/>
      <c r="CAB4739" s="695"/>
      <c r="CAC4739" s="692"/>
      <c r="CAD4739" s="695"/>
      <c r="CAE4739" s="692"/>
      <c r="CAF4739" s="695"/>
      <c r="CAG4739" s="692"/>
      <c r="CAH4739" s="695"/>
      <c r="CAI4739" s="692"/>
      <c r="CAJ4739" s="695"/>
      <c r="CAK4739" s="692"/>
      <c r="CAL4739" s="695"/>
      <c r="CAM4739" s="692"/>
      <c r="CAN4739" s="695"/>
      <c r="CAO4739" s="692"/>
      <c r="CAP4739" s="695"/>
      <c r="CAQ4739" s="692"/>
      <c r="CAR4739" s="695"/>
      <c r="CAS4739" s="692"/>
      <c r="CAT4739" s="695"/>
      <c r="CAU4739" s="692"/>
      <c r="CAV4739" s="695"/>
      <c r="CAW4739" s="692"/>
      <c r="CAX4739" s="695"/>
      <c r="CAY4739" s="692"/>
      <c r="CAZ4739" s="695"/>
      <c r="CBA4739" s="692"/>
      <c r="CBB4739" s="695"/>
      <c r="CBC4739" s="692"/>
      <c r="CBD4739" s="695"/>
      <c r="CBE4739" s="692"/>
      <c r="CBF4739" s="695"/>
      <c r="CBG4739" s="692"/>
      <c r="CBH4739" s="695"/>
      <c r="CBI4739" s="692"/>
      <c r="CBJ4739" s="695"/>
      <c r="CBK4739" s="692"/>
      <c r="CBL4739" s="695"/>
      <c r="CBM4739" s="692"/>
      <c r="CBN4739" s="695"/>
      <c r="CBO4739" s="692"/>
      <c r="CBP4739" s="695"/>
      <c r="CBQ4739" s="692"/>
      <c r="CBR4739" s="695"/>
      <c r="CBS4739" s="692"/>
      <c r="CBT4739" s="695"/>
      <c r="CBU4739" s="692"/>
      <c r="CBV4739" s="695"/>
      <c r="CBW4739" s="692"/>
      <c r="CBX4739" s="695"/>
      <c r="CBY4739" s="692"/>
      <c r="CBZ4739" s="695"/>
      <c r="CCA4739" s="692"/>
      <c r="CCB4739" s="695"/>
      <c r="CCC4739" s="692"/>
      <c r="CCD4739" s="695"/>
      <c r="CCE4739" s="692"/>
      <c r="CCF4739" s="695"/>
      <c r="CCG4739" s="692"/>
      <c r="CCH4739" s="695"/>
      <c r="CCI4739" s="692"/>
      <c r="CCJ4739" s="695"/>
      <c r="CCK4739" s="692"/>
      <c r="CCL4739" s="695"/>
      <c r="CCM4739" s="692"/>
      <c r="CCN4739" s="695"/>
      <c r="CCO4739" s="692"/>
      <c r="CCP4739" s="695"/>
      <c r="CCQ4739" s="692"/>
      <c r="CCR4739" s="695"/>
      <c r="CCS4739" s="692"/>
      <c r="CCT4739" s="695"/>
      <c r="CCU4739" s="692"/>
      <c r="CCV4739" s="695"/>
      <c r="CCW4739" s="692"/>
      <c r="CCX4739" s="695"/>
      <c r="CCY4739" s="692"/>
      <c r="CCZ4739" s="695"/>
      <c r="CDA4739" s="692"/>
      <c r="CDB4739" s="695"/>
      <c r="CDC4739" s="692"/>
      <c r="CDD4739" s="695"/>
      <c r="CDE4739" s="692"/>
      <c r="CDF4739" s="695"/>
      <c r="CDG4739" s="692"/>
      <c r="CDH4739" s="695"/>
      <c r="CDI4739" s="692"/>
      <c r="CDJ4739" s="695"/>
      <c r="CDK4739" s="692"/>
      <c r="CDL4739" s="695"/>
      <c r="CDM4739" s="692"/>
      <c r="CDN4739" s="695"/>
      <c r="CDO4739" s="692"/>
      <c r="CDP4739" s="695"/>
      <c r="CDQ4739" s="692"/>
      <c r="CDR4739" s="695"/>
      <c r="CDS4739" s="692"/>
      <c r="CDT4739" s="695"/>
      <c r="CDU4739" s="692"/>
      <c r="CDV4739" s="695"/>
      <c r="CDW4739" s="692"/>
      <c r="CDX4739" s="695"/>
      <c r="CDY4739" s="692"/>
      <c r="CDZ4739" s="695"/>
      <c r="CEA4739" s="692"/>
      <c r="CEB4739" s="695"/>
      <c r="CEC4739" s="692"/>
      <c r="CED4739" s="695"/>
      <c r="CEE4739" s="692"/>
      <c r="CEF4739" s="695"/>
      <c r="CEG4739" s="692"/>
      <c r="CEH4739" s="695"/>
      <c r="CEI4739" s="692"/>
      <c r="CEJ4739" s="695"/>
      <c r="CEK4739" s="692"/>
      <c r="CEL4739" s="695"/>
      <c r="CEM4739" s="692"/>
      <c r="CEN4739" s="695"/>
      <c r="CEO4739" s="692"/>
      <c r="CEP4739" s="695"/>
      <c r="CEQ4739" s="692"/>
      <c r="CER4739" s="695"/>
      <c r="CES4739" s="692"/>
      <c r="CET4739" s="695"/>
      <c r="CEU4739" s="692"/>
      <c r="CEV4739" s="695"/>
      <c r="CEW4739" s="692"/>
      <c r="CEX4739" s="695"/>
      <c r="CEY4739" s="692"/>
      <c r="CEZ4739" s="695"/>
      <c r="CFA4739" s="692"/>
      <c r="CFB4739" s="695"/>
      <c r="CFC4739" s="692"/>
      <c r="CFD4739" s="695"/>
      <c r="CFE4739" s="692"/>
      <c r="CFF4739" s="695"/>
      <c r="CFG4739" s="692"/>
      <c r="CFH4739" s="695"/>
      <c r="CFI4739" s="692"/>
      <c r="CFJ4739" s="695"/>
      <c r="CFK4739" s="692"/>
      <c r="CFL4739" s="695"/>
      <c r="CFM4739" s="692"/>
      <c r="CFN4739" s="695"/>
      <c r="CFO4739" s="692"/>
      <c r="CFP4739" s="695"/>
      <c r="CFQ4739" s="692"/>
      <c r="CFR4739" s="695"/>
      <c r="CFS4739" s="692"/>
      <c r="CFT4739" s="695"/>
      <c r="CFU4739" s="692"/>
      <c r="CFV4739" s="695"/>
      <c r="CFW4739" s="692"/>
      <c r="CFX4739" s="695"/>
      <c r="CFY4739" s="692"/>
      <c r="CFZ4739" s="695"/>
      <c r="CGA4739" s="692"/>
      <c r="CGB4739" s="695"/>
      <c r="CGC4739" s="692"/>
      <c r="CGD4739" s="695"/>
      <c r="CGE4739" s="692"/>
      <c r="CGF4739" s="695"/>
      <c r="CGG4739" s="692"/>
      <c r="CGH4739" s="695"/>
      <c r="CGI4739" s="692"/>
      <c r="CGJ4739" s="695"/>
      <c r="CGK4739" s="692"/>
      <c r="CGL4739" s="695"/>
      <c r="CGM4739" s="692"/>
      <c r="CGN4739" s="695"/>
      <c r="CGO4739" s="692"/>
      <c r="CGP4739" s="695"/>
      <c r="CGQ4739" s="692"/>
      <c r="CGR4739" s="695"/>
      <c r="CGS4739" s="692"/>
      <c r="CGT4739" s="695"/>
      <c r="CGU4739" s="692"/>
      <c r="CGV4739" s="695"/>
      <c r="CGW4739" s="692"/>
      <c r="CGX4739" s="695"/>
      <c r="CGY4739" s="692"/>
      <c r="CGZ4739" s="695"/>
      <c r="CHA4739" s="692"/>
      <c r="CHB4739" s="695"/>
      <c r="CHC4739" s="692"/>
      <c r="CHD4739" s="695"/>
      <c r="CHE4739" s="692"/>
      <c r="CHF4739" s="695"/>
      <c r="CHG4739" s="692"/>
      <c r="CHH4739" s="695"/>
      <c r="CHI4739" s="692"/>
      <c r="CHJ4739" s="695"/>
      <c r="CHK4739" s="692"/>
      <c r="CHL4739" s="695"/>
      <c r="CHM4739" s="692"/>
      <c r="CHN4739" s="695"/>
      <c r="CHO4739" s="692"/>
      <c r="CHP4739" s="695"/>
      <c r="CHQ4739" s="692"/>
      <c r="CHR4739" s="695"/>
      <c r="CHS4739" s="692"/>
      <c r="CHT4739" s="695"/>
      <c r="CHU4739" s="692"/>
      <c r="CHV4739" s="695"/>
      <c r="CHW4739" s="692"/>
      <c r="CHX4739" s="695"/>
      <c r="CHY4739" s="692"/>
      <c r="CHZ4739" s="695"/>
      <c r="CIA4739" s="692"/>
      <c r="CIB4739" s="695"/>
      <c r="CIC4739" s="692"/>
      <c r="CID4739" s="695"/>
      <c r="CIE4739" s="692"/>
      <c r="CIF4739" s="695"/>
      <c r="CIG4739" s="692"/>
      <c r="CIH4739" s="695"/>
      <c r="CII4739" s="692"/>
      <c r="CIJ4739" s="695"/>
      <c r="CIK4739" s="692"/>
      <c r="CIL4739" s="695"/>
      <c r="CIM4739" s="692"/>
      <c r="CIN4739" s="695"/>
      <c r="CIO4739" s="692"/>
      <c r="CIP4739" s="695"/>
      <c r="CIQ4739" s="692"/>
      <c r="CIR4739" s="695"/>
      <c r="CIS4739" s="692"/>
      <c r="CIT4739" s="695"/>
      <c r="CIU4739" s="692"/>
      <c r="CIV4739" s="695"/>
      <c r="CIW4739" s="692"/>
      <c r="CIX4739" s="695"/>
      <c r="CIY4739" s="692"/>
      <c r="CIZ4739" s="695"/>
      <c r="CJA4739" s="692"/>
      <c r="CJB4739" s="695"/>
      <c r="CJC4739" s="692"/>
      <c r="CJD4739" s="695"/>
      <c r="CJE4739" s="692"/>
      <c r="CJF4739" s="695"/>
      <c r="CJG4739" s="692"/>
      <c r="CJH4739" s="695"/>
      <c r="CJI4739" s="692"/>
      <c r="CJJ4739" s="695"/>
      <c r="CJK4739" s="692"/>
      <c r="CJL4739" s="695"/>
      <c r="CJM4739" s="692"/>
      <c r="CJN4739" s="695"/>
      <c r="CJO4739" s="692"/>
      <c r="CJP4739" s="695"/>
      <c r="CJQ4739" s="692"/>
      <c r="CJR4739" s="695"/>
      <c r="CJS4739" s="692"/>
      <c r="CJT4739" s="695"/>
      <c r="CJU4739" s="692"/>
      <c r="CJV4739" s="695"/>
      <c r="CJW4739" s="692"/>
      <c r="CJX4739" s="695"/>
      <c r="CJY4739" s="692"/>
      <c r="CJZ4739" s="695"/>
      <c r="CKA4739" s="692"/>
      <c r="CKB4739" s="695"/>
      <c r="CKC4739" s="692"/>
      <c r="CKD4739" s="695"/>
      <c r="CKE4739" s="692"/>
      <c r="CKF4739" s="695"/>
      <c r="CKG4739" s="692"/>
      <c r="CKH4739" s="695"/>
      <c r="CKI4739" s="692"/>
      <c r="CKJ4739" s="695"/>
      <c r="CKK4739" s="692"/>
      <c r="CKL4739" s="695"/>
      <c r="CKM4739" s="692"/>
      <c r="CKN4739" s="695"/>
      <c r="CKO4739" s="692"/>
      <c r="CKP4739" s="695"/>
      <c r="CKQ4739" s="692"/>
      <c r="CKR4739" s="695"/>
      <c r="CKS4739" s="692"/>
      <c r="CKT4739" s="695"/>
      <c r="CKU4739" s="692"/>
      <c r="CKV4739" s="695"/>
      <c r="CKW4739" s="692"/>
      <c r="CKX4739" s="695"/>
      <c r="CKY4739" s="692"/>
      <c r="CKZ4739" s="695"/>
      <c r="CLA4739" s="692"/>
      <c r="CLB4739" s="695"/>
      <c r="CLC4739" s="692"/>
      <c r="CLD4739" s="695"/>
      <c r="CLE4739" s="692"/>
      <c r="CLF4739" s="695"/>
      <c r="CLG4739" s="692"/>
      <c r="CLH4739" s="695"/>
      <c r="CLI4739" s="692"/>
      <c r="CLJ4739" s="695"/>
      <c r="CLK4739" s="692"/>
      <c r="CLL4739" s="695"/>
      <c r="CLM4739" s="692"/>
      <c r="CLN4739" s="695"/>
      <c r="CLO4739" s="692"/>
      <c r="CLP4739" s="695"/>
      <c r="CLQ4739" s="692"/>
      <c r="CLR4739" s="695"/>
      <c r="CLS4739" s="692"/>
      <c r="CLT4739" s="695"/>
      <c r="CLU4739" s="692"/>
      <c r="CLV4739" s="695"/>
      <c r="CLW4739" s="692"/>
      <c r="CLX4739" s="695"/>
      <c r="CLY4739" s="692"/>
      <c r="CLZ4739" s="695"/>
      <c r="CMA4739" s="692"/>
      <c r="CMB4739" s="695"/>
      <c r="CMC4739" s="692"/>
      <c r="CMD4739" s="695"/>
      <c r="CME4739" s="692"/>
      <c r="CMF4739" s="695"/>
      <c r="CMG4739" s="692"/>
      <c r="CMH4739" s="695"/>
      <c r="CMI4739" s="692"/>
      <c r="CMJ4739" s="695"/>
      <c r="CMK4739" s="692"/>
      <c r="CML4739" s="695"/>
      <c r="CMM4739" s="692"/>
      <c r="CMN4739" s="695"/>
      <c r="CMO4739" s="692"/>
      <c r="CMP4739" s="695"/>
      <c r="CMQ4739" s="692"/>
      <c r="CMR4739" s="695"/>
      <c r="CMS4739" s="692"/>
      <c r="CMT4739" s="695"/>
      <c r="CMU4739" s="692"/>
      <c r="CMV4739" s="695"/>
      <c r="CMW4739" s="692"/>
      <c r="CMX4739" s="695"/>
      <c r="CMY4739" s="692"/>
      <c r="CMZ4739" s="695"/>
      <c r="CNA4739" s="692"/>
      <c r="CNB4739" s="695"/>
      <c r="CNC4739" s="692"/>
      <c r="CND4739" s="695"/>
      <c r="CNE4739" s="692"/>
      <c r="CNF4739" s="695"/>
      <c r="CNG4739" s="692"/>
      <c r="CNH4739" s="695"/>
      <c r="CNI4739" s="692"/>
      <c r="CNJ4739" s="695"/>
      <c r="CNK4739" s="692"/>
      <c r="CNL4739" s="695"/>
      <c r="CNM4739" s="692"/>
      <c r="CNN4739" s="695"/>
      <c r="CNO4739" s="692"/>
      <c r="CNP4739" s="695"/>
      <c r="CNQ4739" s="692"/>
      <c r="CNR4739" s="695"/>
      <c r="CNS4739" s="692"/>
      <c r="CNT4739" s="695"/>
      <c r="CNU4739" s="692"/>
      <c r="CNV4739" s="695"/>
      <c r="CNW4739" s="692"/>
      <c r="CNX4739" s="695"/>
      <c r="CNY4739" s="692"/>
      <c r="CNZ4739" s="695"/>
      <c r="COA4739" s="692"/>
      <c r="COB4739" s="695"/>
      <c r="COC4739" s="692"/>
      <c r="COD4739" s="695"/>
      <c r="COE4739" s="692"/>
      <c r="COF4739" s="695"/>
      <c r="COG4739" s="692"/>
      <c r="COH4739" s="695"/>
      <c r="COI4739" s="692"/>
      <c r="COJ4739" s="695"/>
      <c r="COK4739" s="692"/>
      <c r="COL4739" s="695"/>
      <c r="COM4739" s="692"/>
      <c r="CON4739" s="695"/>
      <c r="COO4739" s="692"/>
      <c r="COP4739" s="695"/>
      <c r="COQ4739" s="692"/>
      <c r="COR4739" s="695"/>
      <c r="COS4739" s="692"/>
      <c r="COT4739" s="695"/>
      <c r="COU4739" s="692"/>
      <c r="COV4739" s="695"/>
      <c r="COW4739" s="692"/>
      <c r="COX4739" s="695"/>
      <c r="COY4739" s="692"/>
      <c r="COZ4739" s="695"/>
      <c r="CPA4739" s="692"/>
      <c r="CPB4739" s="695"/>
      <c r="CPC4739" s="692"/>
      <c r="CPD4739" s="695"/>
      <c r="CPE4739" s="692"/>
      <c r="CPF4739" s="695"/>
      <c r="CPG4739" s="692"/>
      <c r="CPH4739" s="695"/>
      <c r="CPI4739" s="692"/>
      <c r="CPJ4739" s="695"/>
      <c r="CPK4739" s="692"/>
      <c r="CPL4739" s="695"/>
      <c r="CPM4739" s="692"/>
      <c r="CPN4739" s="695"/>
      <c r="CPO4739" s="692"/>
      <c r="CPP4739" s="695"/>
      <c r="CPQ4739" s="692"/>
      <c r="CPR4739" s="695"/>
      <c r="CPS4739" s="692"/>
      <c r="CPT4739" s="695"/>
      <c r="CPU4739" s="692"/>
      <c r="CPV4739" s="695"/>
      <c r="CPW4739" s="692"/>
      <c r="CPX4739" s="695"/>
      <c r="CPY4739" s="692"/>
      <c r="CPZ4739" s="695"/>
      <c r="CQA4739" s="692"/>
      <c r="CQB4739" s="695"/>
      <c r="CQC4739" s="692"/>
      <c r="CQD4739" s="695"/>
      <c r="CQE4739" s="692"/>
      <c r="CQF4739" s="695"/>
      <c r="CQG4739" s="692"/>
      <c r="CQH4739" s="695"/>
      <c r="CQI4739" s="692"/>
      <c r="CQJ4739" s="695"/>
      <c r="CQK4739" s="692"/>
      <c r="CQL4739" s="695"/>
      <c r="CQM4739" s="692"/>
      <c r="CQN4739" s="695"/>
      <c r="CQO4739" s="692"/>
      <c r="CQP4739" s="695"/>
      <c r="CQQ4739" s="692"/>
      <c r="CQR4739" s="695"/>
      <c r="CQS4739" s="692"/>
      <c r="CQT4739" s="695"/>
      <c r="CQU4739" s="692"/>
      <c r="CQV4739" s="695"/>
      <c r="CQW4739" s="692"/>
      <c r="CQX4739" s="695"/>
      <c r="CQY4739" s="692"/>
      <c r="CQZ4739" s="695"/>
      <c r="CRA4739" s="692"/>
      <c r="CRB4739" s="695"/>
      <c r="CRC4739" s="692"/>
      <c r="CRD4739" s="695"/>
      <c r="CRE4739" s="692"/>
      <c r="CRF4739" s="695"/>
      <c r="CRG4739" s="692"/>
      <c r="CRH4739" s="695"/>
      <c r="CRI4739" s="692"/>
      <c r="CRJ4739" s="695"/>
      <c r="CRK4739" s="692"/>
      <c r="CRL4739" s="695"/>
      <c r="CRM4739" s="692"/>
      <c r="CRN4739" s="695"/>
      <c r="CRO4739" s="692"/>
      <c r="CRP4739" s="695"/>
      <c r="CRQ4739" s="692"/>
      <c r="CRR4739" s="695"/>
      <c r="CRS4739" s="692"/>
      <c r="CRT4739" s="695"/>
      <c r="CRU4739" s="692"/>
      <c r="CRV4739" s="695"/>
      <c r="CRW4739" s="692"/>
      <c r="CRX4739" s="695"/>
      <c r="CRY4739" s="692"/>
      <c r="CRZ4739" s="695"/>
      <c r="CSA4739" s="692"/>
      <c r="CSB4739" s="695"/>
      <c r="CSC4739" s="692"/>
      <c r="CSD4739" s="695"/>
      <c r="CSE4739" s="692"/>
      <c r="CSF4739" s="695"/>
      <c r="CSG4739" s="692"/>
      <c r="CSH4739" s="695"/>
      <c r="CSI4739" s="692"/>
      <c r="CSJ4739" s="695"/>
      <c r="CSK4739" s="692"/>
      <c r="CSL4739" s="695"/>
      <c r="CSM4739" s="692"/>
      <c r="CSN4739" s="695"/>
      <c r="CSO4739" s="692"/>
      <c r="CSP4739" s="695"/>
      <c r="CSQ4739" s="692"/>
      <c r="CSR4739" s="695"/>
      <c r="CSS4739" s="692"/>
      <c r="CST4739" s="695"/>
      <c r="CSU4739" s="692"/>
      <c r="CSV4739" s="695"/>
      <c r="CSW4739" s="692"/>
      <c r="CSX4739" s="695"/>
      <c r="CSY4739" s="692"/>
      <c r="CSZ4739" s="695"/>
      <c r="CTA4739" s="692"/>
      <c r="CTB4739" s="695"/>
      <c r="CTC4739" s="692"/>
      <c r="CTD4739" s="695"/>
      <c r="CTE4739" s="692"/>
      <c r="CTF4739" s="695"/>
      <c r="CTG4739" s="692"/>
      <c r="CTH4739" s="695"/>
      <c r="CTI4739" s="692"/>
      <c r="CTJ4739" s="695"/>
      <c r="CTK4739" s="692"/>
      <c r="CTL4739" s="695"/>
      <c r="CTM4739" s="692"/>
      <c r="CTN4739" s="695"/>
      <c r="CTO4739" s="692"/>
      <c r="CTP4739" s="695"/>
      <c r="CTQ4739" s="692"/>
      <c r="CTR4739" s="695"/>
      <c r="CTS4739" s="692"/>
      <c r="CTT4739" s="695"/>
      <c r="CTU4739" s="692"/>
      <c r="CTV4739" s="695"/>
      <c r="CTW4739" s="692"/>
      <c r="CTX4739" s="695"/>
      <c r="CTY4739" s="692"/>
      <c r="CTZ4739" s="695"/>
      <c r="CUA4739" s="692"/>
      <c r="CUB4739" s="695"/>
      <c r="CUC4739" s="692"/>
      <c r="CUD4739" s="695"/>
      <c r="CUE4739" s="692"/>
      <c r="CUF4739" s="695"/>
      <c r="CUG4739" s="692"/>
      <c r="CUH4739" s="695"/>
      <c r="CUI4739" s="692"/>
      <c r="CUJ4739" s="695"/>
      <c r="CUK4739" s="692"/>
      <c r="CUL4739" s="695"/>
      <c r="CUM4739" s="692"/>
      <c r="CUN4739" s="695"/>
      <c r="CUO4739" s="692"/>
      <c r="CUP4739" s="695"/>
      <c r="CUQ4739" s="692"/>
      <c r="CUR4739" s="695"/>
      <c r="CUS4739" s="692"/>
      <c r="CUT4739" s="695"/>
      <c r="CUU4739" s="692"/>
      <c r="CUV4739" s="695"/>
      <c r="CUW4739" s="692"/>
      <c r="CUX4739" s="695"/>
      <c r="CUY4739" s="692"/>
      <c r="CUZ4739" s="695"/>
      <c r="CVA4739" s="692"/>
      <c r="CVB4739" s="695"/>
      <c r="CVC4739" s="692"/>
      <c r="CVD4739" s="695"/>
      <c r="CVE4739" s="692"/>
      <c r="CVF4739" s="695"/>
      <c r="CVG4739" s="692"/>
      <c r="CVH4739" s="695"/>
      <c r="CVI4739" s="692"/>
      <c r="CVJ4739" s="695"/>
      <c r="CVK4739" s="692"/>
      <c r="CVL4739" s="695"/>
      <c r="CVM4739" s="692"/>
      <c r="CVN4739" s="695"/>
      <c r="CVO4739" s="692"/>
      <c r="CVP4739" s="695"/>
      <c r="CVQ4739" s="692"/>
      <c r="CVR4739" s="695"/>
      <c r="CVS4739" s="692"/>
      <c r="CVT4739" s="695"/>
      <c r="CVU4739" s="692"/>
      <c r="CVV4739" s="695"/>
      <c r="CVW4739" s="692"/>
      <c r="CVX4739" s="695"/>
      <c r="CVY4739" s="692"/>
      <c r="CVZ4739" s="695"/>
      <c r="CWA4739" s="692"/>
      <c r="CWB4739" s="695"/>
      <c r="CWC4739" s="692"/>
      <c r="CWD4739" s="695"/>
      <c r="CWE4739" s="692"/>
      <c r="CWF4739" s="695"/>
      <c r="CWG4739" s="692"/>
      <c r="CWH4739" s="695"/>
      <c r="CWI4739" s="692"/>
      <c r="CWJ4739" s="695"/>
      <c r="CWK4739" s="692"/>
      <c r="CWL4739" s="695"/>
      <c r="CWM4739" s="692"/>
      <c r="CWN4739" s="695"/>
      <c r="CWO4739" s="692"/>
      <c r="CWP4739" s="695"/>
      <c r="CWQ4739" s="692"/>
      <c r="CWR4739" s="695"/>
      <c r="CWS4739" s="692"/>
      <c r="CWT4739" s="695"/>
      <c r="CWU4739" s="692"/>
      <c r="CWV4739" s="695"/>
      <c r="CWW4739" s="692"/>
      <c r="CWX4739" s="695"/>
      <c r="CWY4739" s="692"/>
      <c r="CWZ4739" s="695"/>
      <c r="CXA4739" s="692"/>
      <c r="CXB4739" s="695"/>
      <c r="CXC4739" s="692"/>
      <c r="CXD4739" s="695"/>
      <c r="CXE4739" s="692"/>
      <c r="CXF4739" s="695"/>
      <c r="CXG4739" s="692"/>
      <c r="CXH4739" s="695"/>
      <c r="CXI4739" s="692"/>
      <c r="CXJ4739" s="695"/>
      <c r="CXK4739" s="692"/>
      <c r="CXL4739" s="695"/>
      <c r="CXM4739" s="692"/>
      <c r="CXN4739" s="695"/>
      <c r="CXO4739" s="692"/>
      <c r="CXP4739" s="695"/>
      <c r="CXQ4739" s="692"/>
      <c r="CXR4739" s="695"/>
      <c r="CXS4739" s="692"/>
      <c r="CXT4739" s="695"/>
      <c r="CXU4739" s="692"/>
      <c r="CXV4739" s="695"/>
      <c r="CXW4739" s="692"/>
      <c r="CXX4739" s="695"/>
      <c r="CXY4739" s="692"/>
      <c r="CXZ4739" s="695"/>
      <c r="CYA4739" s="692"/>
      <c r="CYB4739" s="695"/>
      <c r="CYC4739" s="692"/>
      <c r="CYD4739" s="695"/>
      <c r="CYE4739" s="692"/>
      <c r="CYF4739" s="695"/>
      <c r="CYG4739" s="692"/>
      <c r="CYH4739" s="695"/>
      <c r="CYI4739" s="692"/>
      <c r="CYJ4739" s="695"/>
      <c r="CYK4739" s="692"/>
      <c r="CYL4739" s="695"/>
      <c r="CYM4739" s="692"/>
      <c r="CYN4739" s="695"/>
      <c r="CYO4739" s="692"/>
      <c r="CYP4739" s="695"/>
      <c r="CYQ4739" s="692"/>
      <c r="CYR4739" s="695"/>
      <c r="CYS4739" s="692"/>
      <c r="CYT4739" s="695"/>
      <c r="CYU4739" s="692"/>
      <c r="CYV4739" s="695"/>
      <c r="CYW4739" s="692"/>
      <c r="CYX4739" s="695"/>
      <c r="CYY4739" s="692"/>
      <c r="CYZ4739" s="695"/>
      <c r="CZA4739" s="692"/>
      <c r="CZB4739" s="695"/>
      <c r="CZC4739" s="692"/>
      <c r="CZD4739" s="695"/>
      <c r="CZE4739" s="692"/>
      <c r="CZF4739" s="695"/>
      <c r="CZG4739" s="692"/>
      <c r="CZH4739" s="695"/>
      <c r="CZI4739" s="692"/>
      <c r="CZJ4739" s="695"/>
      <c r="CZK4739" s="692"/>
      <c r="CZL4739" s="695"/>
      <c r="CZM4739" s="692"/>
      <c r="CZN4739" s="695"/>
      <c r="CZO4739" s="692"/>
      <c r="CZP4739" s="695"/>
      <c r="CZQ4739" s="692"/>
      <c r="CZR4739" s="695"/>
      <c r="CZS4739" s="692"/>
      <c r="CZT4739" s="695"/>
      <c r="CZU4739" s="692"/>
      <c r="CZV4739" s="695"/>
      <c r="CZW4739" s="692"/>
      <c r="CZX4739" s="695"/>
      <c r="CZY4739" s="692"/>
      <c r="CZZ4739" s="695"/>
      <c r="DAA4739" s="692"/>
      <c r="DAB4739" s="695"/>
      <c r="DAC4739" s="692"/>
      <c r="DAD4739" s="695"/>
      <c r="DAE4739" s="692"/>
      <c r="DAF4739" s="695"/>
      <c r="DAG4739" s="692"/>
      <c r="DAH4739" s="695"/>
      <c r="DAI4739" s="692"/>
      <c r="DAJ4739" s="695"/>
      <c r="DAK4739" s="692"/>
      <c r="DAL4739" s="695"/>
      <c r="DAM4739" s="692"/>
      <c r="DAN4739" s="695"/>
      <c r="DAO4739" s="692"/>
      <c r="DAP4739" s="695"/>
      <c r="DAQ4739" s="692"/>
      <c r="DAR4739" s="695"/>
      <c r="DAS4739" s="692"/>
      <c r="DAT4739" s="695"/>
      <c r="DAU4739" s="692"/>
      <c r="DAV4739" s="695"/>
      <c r="DAW4739" s="692"/>
      <c r="DAX4739" s="695"/>
      <c r="DAY4739" s="692"/>
      <c r="DAZ4739" s="695"/>
      <c r="DBA4739" s="692"/>
      <c r="DBB4739" s="695"/>
      <c r="DBC4739" s="692"/>
      <c r="DBD4739" s="695"/>
      <c r="DBE4739" s="692"/>
      <c r="DBF4739" s="695"/>
      <c r="DBG4739" s="692"/>
      <c r="DBH4739" s="695"/>
      <c r="DBI4739" s="692"/>
      <c r="DBJ4739" s="695"/>
      <c r="DBK4739" s="692"/>
      <c r="DBL4739" s="695"/>
      <c r="DBM4739" s="692"/>
      <c r="DBN4739" s="695"/>
      <c r="DBO4739" s="692"/>
      <c r="DBP4739" s="695"/>
      <c r="DBQ4739" s="692"/>
      <c r="DBR4739" s="695"/>
      <c r="DBS4739" s="692"/>
      <c r="DBT4739" s="695"/>
      <c r="DBU4739" s="692"/>
      <c r="DBV4739" s="695"/>
      <c r="DBW4739" s="692"/>
      <c r="DBX4739" s="695"/>
      <c r="DBY4739" s="692"/>
      <c r="DBZ4739" s="695"/>
      <c r="DCA4739" s="692"/>
      <c r="DCB4739" s="695"/>
      <c r="DCC4739" s="692"/>
      <c r="DCD4739" s="695"/>
      <c r="DCE4739" s="692"/>
      <c r="DCF4739" s="695"/>
      <c r="DCG4739" s="692"/>
      <c r="DCH4739" s="695"/>
      <c r="DCI4739" s="692"/>
      <c r="DCJ4739" s="695"/>
      <c r="DCK4739" s="692"/>
      <c r="DCL4739" s="695"/>
      <c r="DCM4739" s="692"/>
      <c r="DCN4739" s="695"/>
      <c r="DCO4739" s="692"/>
      <c r="DCP4739" s="695"/>
      <c r="DCQ4739" s="692"/>
      <c r="DCR4739" s="695"/>
      <c r="DCS4739" s="692"/>
      <c r="DCT4739" s="695"/>
      <c r="DCU4739" s="692"/>
      <c r="DCV4739" s="695"/>
      <c r="DCW4739" s="692"/>
      <c r="DCX4739" s="695"/>
      <c r="DCY4739" s="692"/>
      <c r="DCZ4739" s="695"/>
      <c r="DDA4739" s="692"/>
      <c r="DDB4739" s="695"/>
      <c r="DDC4739" s="692"/>
      <c r="DDD4739" s="695"/>
      <c r="DDE4739" s="692"/>
      <c r="DDF4739" s="695"/>
      <c r="DDG4739" s="692"/>
      <c r="DDH4739" s="695"/>
      <c r="DDI4739" s="692"/>
      <c r="DDJ4739" s="695"/>
      <c r="DDK4739" s="692"/>
      <c r="DDL4739" s="695"/>
      <c r="DDM4739" s="692"/>
      <c r="DDN4739" s="695"/>
      <c r="DDO4739" s="692"/>
      <c r="DDP4739" s="695"/>
      <c r="DDQ4739" s="692"/>
      <c r="DDR4739" s="695"/>
      <c r="DDS4739" s="692"/>
      <c r="DDT4739" s="695"/>
      <c r="DDU4739" s="692"/>
      <c r="DDV4739" s="695"/>
      <c r="DDW4739" s="692"/>
      <c r="DDX4739" s="695"/>
      <c r="DDY4739" s="692"/>
      <c r="DDZ4739" s="695"/>
      <c r="DEA4739" s="692"/>
      <c r="DEB4739" s="695"/>
      <c r="DEC4739" s="692"/>
      <c r="DED4739" s="695"/>
      <c r="DEE4739" s="692"/>
      <c r="DEF4739" s="695"/>
      <c r="DEG4739" s="692"/>
      <c r="DEH4739" s="695"/>
      <c r="DEI4739" s="692"/>
      <c r="DEJ4739" s="695"/>
      <c r="DEK4739" s="692"/>
      <c r="DEL4739" s="695"/>
      <c r="DEM4739" s="692"/>
      <c r="DEN4739" s="695"/>
      <c r="DEO4739" s="692"/>
      <c r="DEP4739" s="695"/>
      <c r="DEQ4739" s="692"/>
      <c r="DER4739" s="695"/>
      <c r="DES4739" s="692"/>
      <c r="DET4739" s="695"/>
      <c r="DEU4739" s="692"/>
      <c r="DEV4739" s="695"/>
      <c r="DEW4739" s="692"/>
      <c r="DEX4739" s="695"/>
      <c r="DEY4739" s="692"/>
      <c r="DEZ4739" s="695"/>
      <c r="DFA4739" s="692"/>
      <c r="DFB4739" s="695"/>
      <c r="DFC4739" s="692"/>
      <c r="DFD4739" s="695"/>
      <c r="DFE4739" s="692"/>
      <c r="DFF4739" s="695"/>
      <c r="DFG4739" s="692"/>
      <c r="DFH4739" s="695"/>
      <c r="DFI4739" s="692"/>
      <c r="DFJ4739" s="695"/>
      <c r="DFK4739" s="692"/>
      <c r="DFL4739" s="695"/>
      <c r="DFM4739" s="692"/>
      <c r="DFN4739" s="695"/>
      <c r="DFO4739" s="692"/>
      <c r="DFP4739" s="695"/>
      <c r="DFQ4739" s="692"/>
      <c r="DFR4739" s="695"/>
      <c r="DFS4739" s="692"/>
      <c r="DFT4739" s="695"/>
      <c r="DFU4739" s="692"/>
      <c r="DFV4739" s="695"/>
      <c r="DFW4739" s="692"/>
      <c r="DFX4739" s="695"/>
      <c r="DFY4739" s="692"/>
      <c r="DFZ4739" s="695"/>
      <c r="DGA4739" s="692"/>
      <c r="DGB4739" s="695"/>
      <c r="DGC4739" s="692"/>
      <c r="DGD4739" s="695"/>
      <c r="DGE4739" s="692"/>
      <c r="DGF4739" s="695"/>
      <c r="DGG4739" s="692"/>
      <c r="DGH4739" s="695"/>
      <c r="DGI4739" s="692"/>
      <c r="DGJ4739" s="695"/>
      <c r="DGK4739" s="692"/>
      <c r="DGL4739" s="695"/>
      <c r="DGM4739" s="692"/>
      <c r="DGN4739" s="695"/>
      <c r="DGO4739" s="692"/>
      <c r="DGP4739" s="695"/>
      <c r="DGQ4739" s="692"/>
      <c r="DGR4739" s="695"/>
      <c r="DGS4739" s="692"/>
      <c r="DGT4739" s="695"/>
      <c r="DGU4739" s="692"/>
      <c r="DGV4739" s="695"/>
      <c r="DGW4739" s="692"/>
      <c r="DGX4739" s="695"/>
      <c r="DGY4739" s="692"/>
      <c r="DGZ4739" s="695"/>
      <c r="DHA4739" s="692"/>
      <c r="DHB4739" s="695"/>
      <c r="DHC4739" s="692"/>
      <c r="DHD4739" s="695"/>
      <c r="DHE4739" s="692"/>
      <c r="DHF4739" s="695"/>
      <c r="DHG4739" s="692"/>
      <c r="DHH4739" s="695"/>
      <c r="DHI4739" s="692"/>
      <c r="DHJ4739" s="695"/>
      <c r="DHK4739" s="692"/>
      <c r="DHL4739" s="695"/>
      <c r="DHM4739" s="692"/>
      <c r="DHN4739" s="695"/>
      <c r="DHO4739" s="692"/>
      <c r="DHP4739" s="695"/>
      <c r="DHQ4739" s="692"/>
      <c r="DHR4739" s="695"/>
      <c r="DHS4739" s="692"/>
      <c r="DHT4739" s="695"/>
      <c r="DHU4739" s="692"/>
      <c r="DHV4739" s="695"/>
      <c r="DHW4739" s="692"/>
      <c r="DHX4739" s="695"/>
      <c r="DHY4739" s="692"/>
      <c r="DHZ4739" s="695"/>
      <c r="DIA4739" s="692"/>
      <c r="DIB4739" s="695"/>
      <c r="DIC4739" s="692"/>
      <c r="DID4739" s="695"/>
      <c r="DIE4739" s="692"/>
      <c r="DIF4739" s="695"/>
      <c r="DIG4739" s="692"/>
      <c r="DIH4739" s="695"/>
      <c r="DII4739" s="692"/>
      <c r="DIJ4739" s="695"/>
      <c r="DIK4739" s="692"/>
      <c r="DIL4739" s="695"/>
      <c r="DIM4739" s="692"/>
      <c r="DIN4739" s="695"/>
      <c r="DIO4739" s="692"/>
      <c r="DIP4739" s="695"/>
      <c r="DIQ4739" s="692"/>
      <c r="DIR4739" s="695"/>
      <c r="DIS4739" s="692"/>
      <c r="DIT4739" s="695"/>
      <c r="DIU4739" s="692"/>
      <c r="DIV4739" s="695"/>
      <c r="DIW4739" s="692"/>
      <c r="DIX4739" s="695"/>
      <c r="DIY4739" s="692"/>
      <c r="DIZ4739" s="695"/>
      <c r="DJA4739" s="692"/>
      <c r="DJB4739" s="695"/>
      <c r="DJC4739" s="692"/>
      <c r="DJD4739" s="695"/>
      <c r="DJE4739" s="692"/>
      <c r="DJF4739" s="695"/>
      <c r="DJG4739" s="692"/>
      <c r="DJH4739" s="695"/>
      <c r="DJI4739" s="692"/>
      <c r="DJJ4739" s="695"/>
      <c r="DJK4739" s="692"/>
      <c r="DJL4739" s="695"/>
      <c r="DJM4739" s="692"/>
      <c r="DJN4739" s="695"/>
      <c r="DJO4739" s="692"/>
      <c r="DJP4739" s="695"/>
      <c r="DJQ4739" s="692"/>
      <c r="DJR4739" s="695"/>
      <c r="DJS4739" s="692"/>
      <c r="DJT4739" s="695"/>
      <c r="DJU4739" s="692"/>
      <c r="DJV4739" s="695"/>
      <c r="DJW4739" s="692"/>
      <c r="DJX4739" s="695"/>
      <c r="DJY4739" s="692"/>
      <c r="DJZ4739" s="695"/>
      <c r="DKA4739" s="692"/>
      <c r="DKB4739" s="695"/>
      <c r="DKC4739" s="692"/>
      <c r="DKD4739" s="695"/>
      <c r="DKE4739" s="692"/>
      <c r="DKF4739" s="695"/>
      <c r="DKG4739" s="692"/>
      <c r="DKH4739" s="695"/>
      <c r="DKI4739" s="692"/>
      <c r="DKJ4739" s="695"/>
      <c r="DKK4739" s="692"/>
      <c r="DKL4739" s="695"/>
      <c r="DKM4739" s="692"/>
      <c r="DKN4739" s="695"/>
      <c r="DKO4739" s="692"/>
      <c r="DKP4739" s="695"/>
      <c r="DKQ4739" s="692"/>
      <c r="DKR4739" s="695"/>
      <c r="DKS4739" s="692"/>
      <c r="DKT4739" s="695"/>
      <c r="DKU4739" s="692"/>
      <c r="DKV4739" s="695"/>
      <c r="DKW4739" s="692"/>
      <c r="DKX4739" s="695"/>
      <c r="DKY4739" s="692"/>
      <c r="DKZ4739" s="695"/>
      <c r="DLA4739" s="692"/>
      <c r="DLB4739" s="695"/>
      <c r="DLC4739" s="692"/>
      <c r="DLD4739" s="695"/>
      <c r="DLE4739" s="692"/>
      <c r="DLF4739" s="695"/>
      <c r="DLG4739" s="692"/>
      <c r="DLH4739" s="695"/>
      <c r="DLI4739" s="692"/>
      <c r="DLJ4739" s="695"/>
      <c r="DLK4739" s="692"/>
      <c r="DLL4739" s="695"/>
      <c r="DLM4739" s="692"/>
      <c r="DLN4739" s="695"/>
      <c r="DLO4739" s="692"/>
      <c r="DLP4739" s="695"/>
      <c r="DLQ4739" s="692"/>
      <c r="DLR4739" s="695"/>
      <c r="DLS4739" s="692"/>
      <c r="DLT4739" s="695"/>
      <c r="DLU4739" s="692"/>
      <c r="DLV4739" s="695"/>
      <c r="DLW4739" s="692"/>
      <c r="DLX4739" s="695"/>
      <c r="DLY4739" s="692"/>
      <c r="DLZ4739" s="695"/>
      <c r="DMA4739" s="692"/>
      <c r="DMB4739" s="695"/>
      <c r="DMC4739" s="692"/>
      <c r="DMD4739" s="695"/>
      <c r="DME4739" s="692"/>
      <c r="DMF4739" s="695"/>
      <c r="DMG4739" s="692"/>
      <c r="DMH4739" s="695"/>
      <c r="DMI4739" s="692"/>
      <c r="DMJ4739" s="695"/>
      <c r="DMK4739" s="692"/>
      <c r="DML4739" s="695"/>
      <c r="DMM4739" s="692"/>
      <c r="DMN4739" s="695"/>
      <c r="DMO4739" s="692"/>
      <c r="DMP4739" s="695"/>
      <c r="DMQ4739" s="692"/>
      <c r="DMR4739" s="695"/>
      <c r="DMS4739" s="692"/>
      <c r="DMT4739" s="695"/>
      <c r="DMU4739" s="692"/>
      <c r="DMV4739" s="695"/>
      <c r="DMW4739" s="692"/>
      <c r="DMX4739" s="695"/>
      <c r="DMY4739" s="692"/>
      <c r="DMZ4739" s="695"/>
      <c r="DNA4739" s="692"/>
      <c r="DNB4739" s="695"/>
      <c r="DNC4739" s="692"/>
      <c r="DND4739" s="695"/>
      <c r="DNE4739" s="692"/>
      <c r="DNF4739" s="695"/>
      <c r="DNG4739" s="692"/>
      <c r="DNH4739" s="695"/>
      <c r="DNI4739" s="692"/>
      <c r="DNJ4739" s="695"/>
      <c r="DNK4739" s="692"/>
      <c r="DNL4739" s="695"/>
      <c r="DNM4739" s="692"/>
      <c r="DNN4739" s="695"/>
      <c r="DNO4739" s="692"/>
      <c r="DNP4739" s="695"/>
      <c r="DNQ4739" s="692"/>
      <c r="DNR4739" s="695"/>
      <c r="DNS4739" s="692"/>
      <c r="DNT4739" s="695"/>
      <c r="DNU4739" s="692"/>
      <c r="DNV4739" s="695"/>
      <c r="DNW4739" s="692"/>
      <c r="DNX4739" s="695"/>
      <c r="DNY4739" s="692"/>
      <c r="DNZ4739" s="695"/>
      <c r="DOA4739" s="692"/>
      <c r="DOB4739" s="695"/>
      <c r="DOC4739" s="692"/>
      <c r="DOD4739" s="695"/>
      <c r="DOE4739" s="692"/>
      <c r="DOF4739" s="695"/>
      <c r="DOG4739" s="692"/>
      <c r="DOH4739" s="695"/>
      <c r="DOI4739" s="692"/>
      <c r="DOJ4739" s="695"/>
      <c r="DOK4739" s="692"/>
      <c r="DOL4739" s="695"/>
      <c r="DOM4739" s="692"/>
      <c r="DON4739" s="695"/>
      <c r="DOO4739" s="692"/>
      <c r="DOP4739" s="695"/>
      <c r="DOQ4739" s="692"/>
      <c r="DOR4739" s="695"/>
      <c r="DOS4739" s="692"/>
      <c r="DOT4739" s="695"/>
      <c r="DOU4739" s="692"/>
      <c r="DOV4739" s="695"/>
      <c r="DOW4739" s="692"/>
      <c r="DOX4739" s="695"/>
      <c r="DOY4739" s="692"/>
      <c r="DOZ4739" s="695"/>
      <c r="DPA4739" s="692"/>
      <c r="DPB4739" s="695"/>
      <c r="DPC4739" s="692"/>
      <c r="DPD4739" s="695"/>
      <c r="DPE4739" s="692"/>
      <c r="DPF4739" s="695"/>
      <c r="DPG4739" s="692"/>
      <c r="DPH4739" s="695"/>
      <c r="DPI4739" s="692"/>
      <c r="DPJ4739" s="695"/>
      <c r="DPK4739" s="692"/>
      <c r="DPL4739" s="695"/>
      <c r="DPM4739" s="692"/>
      <c r="DPN4739" s="695"/>
      <c r="DPO4739" s="692"/>
      <c r="DPP4739" s="695"/>
      <c r="DPQ4739" s="692"/>
      <c r="DPR4739" s="695"/>
      <c r="DPS4739" s="692"/>
      <c r="DPT4739" s="695"/>
      <c r="DPU4739" s="692"/>
      <c r="DPV4739" s="695"/>
      <c r="DPW4739" s="692"/>
      <c r="DPX4739" s="695"/>
      <c r="DPY4739" s="692"/>
      <c r="DPZ4739" s="695"/>
      <c r="DQA4739" s="692"/>
      <c r="DQB4739" s="695"/>
      <c r="DQC4739" s="692"/>
      <c r="DQD4739" s="695"/>
      <c r="DQE4739" s="692"/>
      <c r="DQF4739" s="695"/>
      <c r="DQG4739" s="692"/>
      <c r="DQH4739" s="695"/>
      <c r="DQI4739" s="692"/>
      <c r="DQJ4739" s="695"/>
      <c r="DQK4739" s="692"/>
      <c r="DQL4739" s="695"/>
      <c r="DQM4739" s="692"/>
      <c r="DQN4739" s="695"/>
      <c r="DQO4739" s="692"/>
      <c r="DQP4739" s="695"/>
      <c r="DQQ4739" s="692"/>
      <c r="DQR4739" s="695"/>
      <c r="DQS4739" s="692"/>
      <c r="DQT4739" s="695"/>
      <c r="DQU4739" s="692"/>
      <c r="DQV4739" s="695"/>
      <c r="DQW4739" s="692"/>
      <c r="DQX4739" s="695"/>
      <c r="DQY4739" s="692"/>
      <c r="DQZ4739" s="695"/>
      <c r="DRA4739" s="692"/>
      <c r="DRB4739" s="695"/>
      <c r="DRC4739" s="692"/>
      <c r="DRD4739" s="695"/>
      <c r="DRE4739" s="692"/>
      <c r="DRF4739" s="695"/>
      <c r="DRG4739" s="692"/>
      <c r="DRH4739" s="695"/>
      <c r="DRI4739" s="692"/>
      <c r="DRJ4739" s="695"/>
      <c r="DRK4739" s="692"/>
      <c r="DRL4739" s="695"/>
      <c r="DRM4739" s="692"/>
      <c r="DRN4739" s="695"/>
      <c r="DRO4739" s="692"/>
      <c r="DRP4739" s="695"/>
      <c r="DRQ4739" s="692"/>
      <c r="DRR4739" s="695"/>
      <c r="DRS4739" s="692"/>
      <c r="DRT4739" s="695"/>
      <c r="DRU4739" s="692"/>
      <c r="DRV4739" s="695"/>
      <c r="DRW4739" s="692"/>
      <c r="DRX4739" s="695"/>
      <c r="DRY4739" s="692"/>
      <c r="DRZ4739" s="695"/>
      <c r="DSA4739" s="692"/>
      <c r="DSB4739" s="695"/>
      <c r="DSC4739" s="692"/>
      <c r="DSD4739" s="695"/>
      <c r="DSE4739" s="692"/>
      <c r="DSF4739" s="695"/>
      <c r="DSG4739" s="692"/>
      <c r="DSH4739" s="695"/>
      <c r="DSI4739" s="692"/>
      <c r="DSJ4739" s="695"/>
      <c r="DSK4739" s="692"/>
      <c r="DSL4739" s="695"/>
      <c r="DSM4739" s="692"/>
      <c r="DSN4739" s="695"/>
      <c r="DSO4739" s="692"/>
      <c r="DSP4739" s="695"/>
      <c r="DSQ4739" s="692"/>
      <c r="DSR4739" s="695"/>
      <c r="DSS4739" s="692"/>
      <c r="DST4739" s="695"/>
      <c r="DSU4739" s="692"/>
      <c r="DSV4739" s="695"/>
      <c r="DSW4739" s="692"/>
      <c r="DSX4739" s="695"/>
      <c r="DSY4739" s="692"/>
      <c r="DSZ4739" s="695"/>
      <c r="DTA4739" s="692"/>
      <c r="DTB4739" s="695"/>
      <c r="DTC4739" s="692"/>
      <c r="DTD4739" s="695"/>
      <c r="DTE4739" s="692"/>
      <c r="DTF4739" s="695"/>
      <c r="DTG4739" s="692"/>
      <c r="DTH4739" s="695"/>
      <c r="DTI4739" s="692"/>
      <c r="DTJ4739" s="695"/>
      <c r="DTK4739" s="692"/>
      <c r="DTL4739" s="695"/>
      <c r="DTM4739" s="692"/>
      <c r="DTN4739" s="695"/>
      <c r="DTO4739" s="692"/>
      <c r="DTP4739" s="695"/>
      <c r="DTQ4739" s="692"/>
      <c r="DTR4739" s="695"/>
      <c r="DTS4739" s="692"/>
      <c r="DTT4739" s="695"/>
      <c r="DTU4739" s="692"/>
      <c r="DTV4739" s="695"/>
      <c r="DTW4739" s="692"/>
      <c r="DTX4739" s="695"/>
      <c r="DTY4739" s="692"/>
      <c r="DTZ4739" s="695"/>
      <c r="DUA4739" s="692"/>
      <c r="DUB4739" s="695"/>
      <c r="DUC4739" s="692"/>
      <c r="DUD4739" s="695"/>
      <c r="DUE4739" s="692"/>
      <c r="DUF4739" s="695"/>
      <c r="DUG4739" s="692"/>
      <c r="DUH4739" s="695"/>
      <c r="DUI4739" s="692"/>
      <c r="DUJ4739" s="695"/>
      <c r="DUK4739" s="692"/>
      <c r="DUL4739" s="695"/>
      <c r="DUM4739" s="692"/>
      <c r="DUN4739" s="695"/>
      <c r="DUO4739" s="692"/>
      <c r="DUP4739" s="695"/>
      <c r="DUQ4739" s="692"/>
      <c r="DUR4739" s="695"/>
      <c r="DUS4739" s="692"/>
      <c r="DUT4739" s="695"/>
      <c r="DUU4739" s="692"/>
      <c r="DUV4739" s="695"/>
      <c r="DUW4739" s="692"/>
      <c r="DUX4739" s="695"/>
      <c r="DUY4739" s="692"/>
      <c r="DUZ4739" s="695"/>
      <c r="DVA4739" s="692"/>
      <c r="DVB4739" s="695"/>
      <c r="DVC4739" s="692"/>
      <c r="DVD4739" s="695"/>
      <c r="DVE4739" s="692"/>
      <c r="DVF4739" s="695"/>
      <c r="DVG4739" s="692"/>
      <c r="DVH4739" s="695"/>
      <c r="DVI4739" s="692"/>
      <c r="DVJ4739" s="695"/>
      <c r="DVK4739" s="692"/>
      <c r="DVL4739" s="695"/>
      <c r="DVM4739" s="692"/>
      <c r="DVN4739" s="695"/>
      <c r="DVO4739" s="692"/>
      <c r="DVP4739" s="695"/>
      <c r="DVQ4739" s="692"/>
      <c r="DVR4739" s="695"/>
      <c r="DVS4739" s="692"/>
      <c r="DVT4739" s="695"/>
      <c r="DVU4739" s="692"/>
      <c r="DVV4739" s="695"/>
      <c r="DVW4739" s="692"/>
      <c r="DVX4739" s="695"/>
      <c r="DVY4739" s="692"/>
      <c r="DVZ4739" s="695"/>
      <c r="DWA4739" s="692"/>
      <c r="DWB4739" s="695"/>
      <c r="DWC4739" s="692"/>
      <c r="DWD4739" s="695"/>
      <c r="DWE4739" s="692"/>
      <c r="DWF4739" s="695"/>
      <c r="DWG4739" s="692"/>
      <c r="DWH4739" s="695"/>
      <c r="DWI4739" s="692"/>
      <c r="DWJ4739" s="695"/>
      <c r="DWK4739" s="692"/>
      <c r="DWL4739" s="695"/>
      <c r="DWM4739" s="692"/>
      <c r="DWN4739" s="695"/>
      <c r="DWO4739" s="692"/>
      <c r="DWP4739" s="695"/>
      <c r="DWQ4739" s="692"/>
      <c r="DWR4739" s="695"/>
      <c r="DWS4739" s="692"/>
      <c r="DWT4739" s="695"/>
      <c r="DWU4739" s="692"/>
      <c r="DWV4739" s="695"/>
      <c r="DWW4739" s="692"/>
      <c r="DWX4739" s="695"/>
      <c r="DWY4739" s="692"/>
      <c r="DWZ4739" s="695"/>
      <c r="DXA4739" s="692"/>
      <c r="DXB4739" s="695"/>
      <c r="DXC4739" s="692"/>
      <c r="DXD4739" s="695"/>
      <c r="DXE4739" s="692"/>
      <c r="DXF4739" s="695"/>
      <c r="DXG4739" s="692"/>
      <c r="DXH4739" s="695"/>
      <c r="DXI4739" s="692"/>
      <c r="DXJ4739" s="695"/>
      <c r="DXK4739" s="692"/>
      <c r="DXL4739" s="695"/>
      <c r="DXM4739" s="692"/>
      <c r="DXN4739" s="695"/>
      <c r="DXO4739" s="692"/>
      <c r="DXP4739" s="695"/>
      <c r="DXQ4739" s="692"/>
      <c r="DXR4739" s="695"/>
      <c r="DXS4739" s="692"/>
      <c r="DXT4739" s="695"/>
      <c r="DXU4739" s="692"/>
      <c r="DXV4739" s="695"/>
      <c r="DXW4739" s="692"/>
      <c r="DXX4739" s="695"/>
      <c r="DXY4739" s="692"/>
      <c r="DXZ4739" s="695"/>
      <c r="DYA4739" s="692"/>
      <c r="DYB4739" s="695"/>
      <c r="DYC4739" s="692"/>
      <c r="DYD4739" s="695"/>
      <c r="DYE4739" s="692"/>
      <c r="DYF4739" s="695"/>
      <c r="DYG4739" s="692"/>
      <c r="DYH4739" s="695"/>
      <c r="DYI4739" s="692"/>
      <c r="DYJ4739" s="695"/>
      <c r="DYK4739" s="692"/>
      <c r="DYL4739" s="695"/>
      <c r="DYM4739" s="692"/>
      <c r="DYN4739" s="695"/>
      <c r="DYO4739" s="692"/>
      <c r="DYP4739" s="695"/>
      <c r="DYQ4739" s="692"/>
      <c r="DYR4739" s="695"/>
      <c r="DYS4739" s="692"/>
      <c r="DYT4739" s="695"/>
      <c r="DYU4739" s="692"/>
      <c r="DYV4739" s="695"/>
      <c r="DYW4739" s="692"/>
      <c r="DYX4739" s="695"/>
      <c r="DYY4739" s="692"/>
      <c r="DYZ4739" s="695"/>
      <c r="DZA4739" s="692"/>
      <c r="DZB4739" s="695"/>
      <c r="DZC4739" s="692"/>
      <c r="DZD4739" s="695"/>
      <c r="DZE4739" s="692"/>
      <c r="DZF4739" s="695"/>
      <c r="DZG4739" s="692"/>
      <c r="DZH4739" s="695"/>
      <c r="DZI4739" s="692"/>
      <c r="DZJ4739" s="695"/>
      <c r="DZK4739" s="692"/>
      <c r="DZL4739" s="695"/>
      <c r="DZM4739" s="692"/>
      <c r="DZN4739" s="695"/>
      <c r="DZO4739" s="692"/>
      <c r="DZP4739" s="695"/>
      <c r="DZQ4739" s="692"/>
      <c r="DZR4739" s="695"/>
      <c r="DZS4739" s="692"/>
      <c r="DZT4739" s="695"/>
      <c r="DZU4739" s="692"/>
      <c r="DZV4739" s="695"/>
      <c r="DZW4739" s="692"/>
      <c r="DZX4739" s="695"/>
      <c r="DZY4739" s="692"/>
      <c r="DZZ4739" s="695"/>
      <c r="EAA4739" s="692"/>
      <c r="EAB4739" s="695"/>
      <c r="EAC4739" s="692"/>
      <c r="EAD4739" s="695"/>
      <c r="EAE4739" s="692"/>
      <c r="EAF4739" s="695"/>
      <c r="EAG4739" s="692"/>
      <c r="EAH4739" s="695"/>
      <c r="EAI4739" s="692"/>
      <c r="EAJ4739" s="695"/>
      <c r="EAK4739" s="692"/>
      <c r="EAL4739" s="695"/>
      <c r="EAM4739" s="692"/>
      <c r="EAN4739" s="695"/>
      <c r="EAO4739" s="692"/>
      <c r="EAP4739" s="695"/>
      <c r="EAQ4739" s="692"/>
      <c r="EAR4739" s="695"/>
      <c r="EAS4739" s="692"/>
      <c r="EAT4739" s="695"/>
      <c r="EAU4739" s="692"/>
      <c r="EAV4739" s="695"/>
      <c r="EAW4739" s="692"/>
      <c r="EAX4739" s="695"/>
      <c r="EAY4739" s="692"/>
      <c r="EAZ4739" s="695"/>
      <c r="EBA4739" s="692"/>
      <c r="EBB4739" s="695"/>
      <c r="EBC4739" s="692"/>
      <c r="EBD4739" s="695"/>
      <c r="EBE4739" s="692"/>
      <c r="EBF4739" s="695"/>
      <c r="EBG4739" s="692"/>
      <c r="EBH4739" s="695"/>
      <c r="EBI4739" s="692"/>
      <c r="EBJ4739" s="695"/>
      <c r="EBK4739" s="692"/>
      <c r="EBL4739" s="695"/>
      <c r="EBM4739" s="692"/>
      <c r="EBN4739" s="695"/>
      <c r="EBO4739" s="692"/>
      <c r="EBP4739" s="695"/>
      <c r="EBQ4739" s="692"/>
      <c r="EBR4739" s="695"/>
      <c r="EBS4739" s="692"/>
      <c r="EBT4739" s="695"/>
      <c r="EBU4739" s="692"/>
      <c r="EBV4739" s="695"/>
      <c r="EBW4739" s="692"/>
      <c r="EBX4739" s="695"/>
      <c r="EBY4739" s="692"/>
      <c r="EBZ4739" s="695"/>
      <c r="ECA4739" s="692"/>
      <c r="ECB4739" s="695"/>
      <c r="ECC4739" s="692"/>
      <c r="ECD4739" s="695"/>
      <c r="ECE4739" s="692"/>
      <c r="ECF4739" s="695"/>
      <c r="ECG4739" s="692"/>
      <c r="ECH4739" s="695"/>
      <c r="ECI4739" s="692"/>
      <c r="ECJ4739" s="695"/>
      <c r="ECK4739" s="692"/>
      <c r="ECL4739" s="695"/>
      <c r="ECM4739" s="692"/>
      <c r="ECN4739" s="695"/>
      <c r="ECO4739" s="692"/>
      <c r="ECP4739" s="695"/>
      <c r="ECQ4739" s="692"/>
      <c r="ECR4739" s="695"/>
      <c r="ECS4739" s="692"/>
      <c r="ECT4739" s="695"/>
      <c r="ECU4739" s="692"/>
      <c r="ECV4739" s="695"/>
      <c r="ECW4739" s="692"/>
      <c r="ECX4739" s="695"/>
      <c r="ECY4739" s="692"/>
      <c r="ECZ4739" s="695"/>
      <c r="EDA4739" s="692"/>
      <c r="EDB4739" s="695"/>
      <c r="EDC4739" s="692"/>
      <c r="EDD4739" s="695"/>
      <c r="EDE4739" s="692"/>
      <c r="EDF4739" s="695"/>
      <c r="EDG4739" s="692"/>
      <c r="EDH4739" s="695"/>
      <c r="EDI4739" s="692"/>
      <c r="EDJ4739" s="695"/>
      <c r="EDK4739" s="692"/>
      <c r="EDL4739" s="695"/>
      <c r="EDM4739" s="692"/>
      <c r="EDN4739" s="695"/>
      <c r="EDO4739" s="692"/>
      <c r="EDP4739" s="695"/>
      <c r="EDQ4739" s="692"/>
      <c r="EDR4739" s="695"/>
      <c r="EDS4739" s="692"/>
      <c r="EDT4739" s="695"/>
      <c r="EDU4739" s="692"/>
      <c r="EDV4739" s="695"/>
      <c r="EDW4739" s="692"/>
      <c r="EDX4739" s="695"/>
      <c r="EDY4739" s="692"/>
      <c r="EDZ4739" s="695"/>
      <c r="EEA4739" s="692"/>
      <c r="EEB4739" s="695"/>
      <c r="EEC4739" s="692"/>
      <c r="EED4739" s="695"/>
      <c r="EEE4739" s="692"/>
      <c r="EEF4739" s="695"/>
      <c r="EEG4739" s="692"/>
      <c r="EEH4739" s="695"/>
      <c r="EEI4739" s="692"/>
      <c r="EEJ4739" s="695"/>
      <c r="EEK4739" s="692"/>
      <c r="EEL4739" s="695"/>
      <c r="EEM4739" s="692"/>
      <c r="EEN4739" s="695"/>
      <c r="EEO4739" s="692"/>
      <c r="EEP4739" s="695"/>
      <c r="EEQ4739" s="692"/>
      <c r="EER4739" s="695"/>
      <c r="EES4739" s="692"/>
      <c r="EET4739" s="695"/>
      <c r="EEU4739" s="692"/>
      <c r="EEV4739" s="695"/>
      <c r="EEW4739" s="692"/>
      <c r="EEX4739" s="695"/>
      <c r="EEY4739" s="692"/>
      <c r="EEZ4739" s="695"/>
      <c r="EFA4739" s="692"/>
      <c r="EFB4739" s="695"/>
      <c r="EFC4739" s="692"/>
      <c r="EFD4739" s="695"/>
      <c r="EFE4739" s="692"/>
      <c r="EFF4739" s="695"/>
      <c r="EFG4739" s="692"/>
      <c r="EFH4739" s="695"/>
      <c r="EFI4739" s="692"/>
      <c r="EFJ4739" s="695"/>
      <c r="EFK4739" s="692"/>
      <c r="EFL4739" s="695"/>
      <c r="EFM4739" s="692"/>
      <c r="EFN4739" s="695"/>
      <c r="EFO4739" s="692"/>
      <c r="EFP4739" s="695"/>
      <c r="EFQ4739" s="692"/>
      <c r="EFR4739" s="695"/>
      <c r="EFS4739" s="692"/>
      <c r="EFT4739" s="695"/>
      <c r="EFU4739" s="692"/>
      <c r="EFV4739" s="695"/>
      <c r="EFW4739" s="692"/>
      <c r="EFX4739" s="695"/>
      <c r="EFY4739" s="692"/>
      <c r="EFZ4739" s="695"/>
      <c r="EGA4739" s="692"/>
      <c r="EGB4739" s="695"/>
      <c r="EGC4739" s="692"/>
      <c r="EGD4739" s="695"/>
      <c r="EGE4739" s="692"/>
      <c r="EGF4739" s="695"/>
      <c r="EGG4739" s="692"/>
      <c r="EGH4739" s="695"/>
      <c r="EGI4739" s="692"/>
      <c r="EGJ4739" s="695"/>
      <c r="EGK4739" s="692"/>
      <c r="EGL4739" s="695"/>
      <c r="EGM4739" s="692"/>
      <c r="EGN4739" s="695"/>
      <c r="EGO4739" s="692"/>
      <c r="EGP4739" s="695"/>
      <c r="EGQ4739" s="692"/>
      <c r="EGR4739" s="695"/>
      <c r="EGS4739" s="692"/>
      <c r="EGT4739" s="695"/>
      <c r="EGU4739" s="692"/>
      <c r="EGV4739" s="695"/>
      <c r="EGW4739" s="692"/>
      <c r="EGX4739" s="695"/>
      <c r="EGY4739" s="692"/>
      <c r="EGZ4739" s="695"/>
      <c r="EHA4739" s="692"/>
      <c r="EHB4739" s="695"/>
      <c r="EHC4739" s="692"/>
      <c r="EHD4739" s="695"/>
      <c r="EHE4739" s="692"/>
      <c r="EHF4739" s="695"/>
      <c r="EHG4739" s="692"/>
      <c r="EHH4739" s="695"/>
      <c r="EHI4739" s="692"/>
      <c r="EHJ4739" s="695"/>
      <c r="EHK4739" s="692"/>
      <c r="EHL4739" s="695"/>
      <c r="EHM4739" s="692"/>
      <c r="EHN4739" s="695"/>
      <c r="EHO4739" s="692"/>
      <c r="EHP4739" s="695"/>
      <c r="EHQ4739" s="692"/>
      <c r="EHR4739" s="695"/>
      <c r="EHS4739" s="692"/>
      <c r="EHT4739" s="695"/>
      <c r="EHU4739" s="692"/>
      <c r="EHV4739" s="695"/>
      <c r="EHW4739" s="692"/>
      <c r="EHX4739" s="695"/>
      <c r="EHY4739" s="692"/>
      <c r="EHZ4739" s="695"/>
      <c r="EIA4739" s="692"/>
      <c r="EIB4739" s="695"/>
      <c r="EIC4739" s="692"/>
      <c r="EID4739" s="695"/>
      <c r="EIE4739" s="692"/>
      <c r="EIF4739" s="695"/>
      <c r="EIG4739" s="692"/>
      <c r="EIH4739" s="695"/>
      <c r="EII4739" s="692"/>
      <c r="EIJ4739" s="695"/>
      <c r="EIK4739" s="692"/>
      <c r="EIL4739" s="695"/>
      <c r="EIM4739" s="692"/>
      <c r="EIN4739" s="695"/>
      <c r="EIO4739" s="692"/>
      <c r="EIP4739" s="695"/>
      <c r="EIQ4739" s="692"/>
      <c r="EIR4739" s="695"/>
      <c r="EIS4739" s="692"/>
      <c r="EIT4739" s="695"/>
      <c r="EIU4739" s="692"/>
      <c r="EIV4739" s="695"/>
      <c r="EIW4739" s="692"/>
      <c r="EIX4739" s="695"/>
      <c r="EIY4739" s="692"/>
      <c r="EIZ4739" s="695"/>
      <c r="EJA4739" s="692"/>
      <c r="EJB4739" s="695"/>
      <c r="EJC4739" s="692"/>
      <c r="EJD4739" s="695"/>
      <c r="EJE4739" s="692"/>
      <c r="EJF4739" s="695"/>
      <c r="EJG4739" s="692"/>
      <c r="EJH4739" s="695"/>
      <c r="EJI4739" s="692"/>
      <c r="EJJ4739" s="695"/>
      <c r="EJK4739" s="692"/>
      <c r="EJL4739" s="695"/>
      <c r="EJM4739" s="692"/>
      <c r="EJN4739" s="695"/>
      <c r="EJO4739" s="692"/>
      <c r="EJP4739" s="695"/>
      <c r="EJQ4739" s="692"/>
      <c r="EJR4739" s="695"/>
      <c r="EJS4739" s="692"/>
      <c r="EJT4739" s="695"/>
      <c r="EJU4739" s="692"/>
      <c r="EJV4739" s="695"/>
      <c r="EJW4739" s="692"/>
      <c r="EJX4739" s="695"/>
      <c r="EJY4739" s="692"/>
      <c r="EJZ4739" s="695"/>
      <c r="EKA4739" s="692"/>
      <c r="EKB4739" s="695"/>
      <c r="EKC4739" s="692"/>
      <c r="EKD4739" s="695"/>
      <c r="EKE4739" s="692"/>
      <c r="EKF4739" s="695"/>
      <c r="EKG4739" s="692"/>
      <c r="EKH4739" s="695"/>
      <c r="EKI4739" s="692"/>
      <c r="EKJ4739" s="695"/>
      <c r="EKK4739" s="692"/>
      <c r="EKL4739" s="695"/>
      <c r="EKM4739" s="692"/>
      <c r="EKN4739" s="695"/>
      <c r="EKO4739" s="692"/>
      <c r="EKP4739" s="695"/>
      <c r="EKQ4739" s="692"/>
      <c r="EKR4739" s="695"/>
      <c r="EKS4739" s="692"/>
      <c r="EKT4739" s="695"/>
      <c r="EKU4739" s="692"/>
      <c r="EKV4739" s="695"/>
      <c r="EKW4739" s="692"/>
      <c r="EKX4739" s="695"/>
      <c r="EKY4739" s="692"/>
      <c r="EKZ4739" s="695"/>
      <c r="ELA4739" s="692"/>
      <c r="ELB4739" s="695"/>
      <c r="ELC4739" s="692"/>
      <c r="ELD4739" s="695"/>
      <c r="ELE4739" s="692"/>
      <c r="ELF4739" s="695"/>
      <c r="ELG4739" s="692"/>
      <c r="ELH4739" s="695"/>
      <c r="ELI4739" s="692"/>
      <c r="ELJ4739" s="695"/>
      <c r="ELK4739" s="692"/>
      <c r="ELL4739" s="695"/>
      <c r="ELM4739" s="692"/>
      <c r="ELN4739" s="695"/>
      <c r="ELO4739" s="692"/>
      <c r="ELP4739" s="695"/>
      <c r="ELQ4739" s="692"/>
      <c r="ELR4739" s="695"/>
      <c r="ELS4739" s="692"/>
      <c r="ELT4739" s="695"/>
      <c r="ELU4739" s="692"/>
      <c r="ELV4739" s="695"/>
      <c r="ELW4739" s="692"/>
      <c r="ELX4739" s="695"/>
      <c r="ELY4739" s="692"/>
      <c r="ELZ4739" s="695"/>
      <c r="EMA4739" s="692"/>
      <c r="EMB4739" s="695"/>
      <c r="EMC4739" s="692"/>
      <c r="EMD4739" s="695"/>
      <c r="EME4739" s="692"/>
      <c r="EMF4739" s="695"/>
      <c r="EMG4739" s="692"/>
      <c r="EMH4739" s="695"/>
      <c r="EMI4739" s="692"/>
      <c r="EMJ4739" s="695"/>
      <c r="EMK4739" s="692"/>
      <c r="EML4739" s="695"/>
      <c r="EMM4739" s="692"/>
      <c r="EMN4739" s="695"/>
      <c r="EMO4739" s="692"/>
      <c r="EMP4739" s="695"/>
      <c r="EMQ4739" s="692"/>
      <c r="EMR4739" s="695"/>
      <c r="EMS4739" s="692"/>
      <c r="EMT4739" s="695"/>
      <c r="EMU4739" s="692"/>
      <c r="EMV4739" s="695"/>
      <c r="EMW4739" s="692"/>
      <c r="EMX4739" s="695"/>
      <c r="EMY4739" s="692"/>
      <c r="EMZ4739" s="695"/>
      <c r="ENA4739" s="692"/>
      <c r="ENB4739" s="695"/>
      <c r="ENC4739" s="692"/>
      <c r="END4739" s="695"/>
      <c r="ENE4739" s="692"/>
      <c r="ENF4739" s="695"/>
      <c r="ENG4739" s="692"/>
      <c r="ENH4739" s="695"/>
      <c r="ENI4739" s="692"/>
      <c r="ENJ4739" s="695"/>
      <c r="ENK4739" s="692"/>
      <c r="ENL4739" s="695"/>
      <c r="ENM4739" s="692"/>
      <c r="ENN4739" s="695"/>
      <c r="ENO4739" s="692"/>
      <c r="ENP4739" s="695"/>
      <c r="ENQ4739" s="692"/>
      <c r="ENR4739" s="695"/>
      <c r="ENS4739" s="692"/>
      <c r="ENT4739" s="695"/>
      <c r="ENU4739" s="692"/>
      <c r="ENV4739" s="695"/>
      <c r="ENW4739" s="692"/>
      <c r="ENX4739" s="695"/>
      <c r="ENY4739" s="692"/>
      <c r="ENZ4739" s="695"/>
      <c r="EOA4739" s="692"/>
      <c r="EOB4739" s="695"/>
      <c r="EOC4739" s="692"/>
      <c r="EOD4739" s="695"/>
      <c r="EOE4739" s="692"/>
      <c r="EOF4739" s="695"/>
      <c r="EOG4739" s="692"/>
      <c r="EOH4739" s="695"/>
      <c r="EOI4739" s="692"/>
      <c r="EOJ4739" s="695"/>
      <c r="EOK4739" s="692"/>
      <c r="EOL4739" s="695"/>
      <c r="EOM4739" s="692"/>
      <c r="EON4739" s="695"/>
      <c r="EOO4739" s="692"/>
      <c r="EOP4739" s="695"/>
      <c r="EOQ4739" s="692"/>
      <c r="EOR4739" s="695"/>
      <c r="EOS4739" s="692"/>
      <c r="EOT4739" s="695"/>
      <c r="EOU4739" s="692"/>
      <c r="EOV4739" s="695"/>
      <c r="EOW4739" s="692"/>
      <c r="EOX4739" s="695"/>
      <c r="EOY4739" s="692"/>
      <c r="EOZ4739" s="695"/>
      <c r="EPA4739" s="692"/>
      <c r="EPB4739" s="695"/>
      <c r="EPC4739" s="692"/>
      <c r="EPD4739" s="695"/>
      <c r="EPE4739" s="692"/>
      <c r="EPF4739" s="695"/>
      <c r="EPG4739" s="692"/>
      <c r="EPH4739" s="695"/>
      <c r="EPI4739" s="692"/>
      <c r="EPJ4739" s="695"/>
      <c r="EPK4739" s="692"/>
      <c r="EPL4739" s="695"/>
      <c r="EPM4739" s="692"/>
      <c r="EPN4739" s="695"/>
      <c r="EPO4739" s="692"/>
      <c r="EPP4739" s="695"/>
      <c r="EPQ4739" s="692"/>
      <c r="EPR4739" s="695"/>
      <c r="EPS4739" s="692"/>
      <c r="EPT4739" s="695"/>
      <c r="EPU4739" s="692"/>
      <c r="EPV4739" s="695"/>
      <c r="EPW4739" s="692"/>
      <c r="EPX4739" s="695"/>
      <c r="EPY4739" s="692"/>
      <c r="EPZ4739" s="695"/>
      <c r="EQA4739" s="692"/>
      <c r="EQB4739" s="695"/>
      <c r="EQC4739" s="692"/>
      <c r="EQD4739" s="695"/>
      <c r="EQE4739" s="692"/>
      <c r="EQF4739" s="695"/>
      <c r="EQG4739" s="692"/>
      <c r="EQH4739" s="695"/>
      <c r="EQI4739" s="692"/>
      <c r="EQJ4739" s="695"/>
      <c r="EQK4739" s="692"/>
      <c r="EQL4739" s="695"/>
      <c r="EQM4739" s="692"/>
      <c r="EQN4739" s="695"/>
      <c r="EQO4739" s="692"/>
      <c r="EQP4739" s="695"/>
      <c r="EQQ4739" s="692"/>
      <c r="EQR4739" s="695"/>
      <c r="EQS4739" s="692"/>
      <c r="EQT4739" s="695"/>
      <c r="EQU4739" s="692"/>
      <c r="EQV4739" s="695"/>
      <c r="EQW4739" s="692"/>
      <c r="EQX4739" s="695"/>
      <c r="EQY4739" s="692"/>
      <c r="EQZ4739" s="695"/>
      <c r="ERA4739" s="692"/>
      <c r="ERB4739" s="695"/>
      <c r="ERC4739" s="692"/>
      <c r="ERD4739" s="695"/>
      <c r="ERE4739" s="692"/>
      <c r="ERF4739" s="695"/>
      <c r="ERG4739" s="692"/>
      <c r="ERH4739" s="695"/>
      <c r="ERI4739" s="692"/>
      <c r="ERJ4739" s="695"/>
      <c r="ERK4739" s="692"/>
      <c r="ERL4739" s="695"/>
      <c r="ERM4739" s="692"/>
      <c r="ERN4739" s="695"/>
      <c r="ERO4739" s="692"/>
      <c r="ERP4739" s="695"/>
      <c r="ERQ4739" s="692"/>
      <c r="ERR4739" s="695"/>
      <c r="ERS4739" s="692"/>
      <c r="ERT4739" s="695"/>
      <c r="ERU4739" s="692"/>
      <c r="ERV4739" s="695"/>
      <c r="ERW4739" s="692"/>
      <c r="ERX4739" s="695"/>
      <c r="ERY4739" s="692"/>
      <c r="ERZ4739" s="695"/>
      <c r="ESA4739" s="692"/>
      <c r="ESB4739" s="695"/>
      <c r="ESC4739" s="692"/>
      <c r="ESD4739" s="695"/>
      <c r="ESE4739" s="692"/>
      <c r="ESF4739" s="695"/>
      <c r="ESG4739" s="692"/>
      <c r="ESH4739" s="695"/>
      <c r="ESI4739" s="692"/>
      <c r="ESJ4739" s="695"/>
      <c r="ESK4739" s="692"/>
      <c r="ESL4739" s="695"/>
      <c r="ESM4739" s="692"/>
      <c r="ESN4739" s="695"/>
      <c r="ESO4739" s="692"/>
      <c r="ESP4739" s="695"/>
      <c r="ESQ4739" s="692"/>
      <c r="ESR4739" s="695"/>
      <c r="ESS4739" s="692"/>
      <c r="EST4739" s="695"/>
      <c r="ESU4739" s="692"/>
      <c r="ESV4739" s="695"/>
      <c r="ESW4739" s="692"/>
      <c r="ESX4739" s="695"/>
      <c r="ESY4739" s="692"/>
      <c r="ESZ4739" s="695"/>
      <c r="ETA4739" s="692"/>
      <c r="ETB4739" s="695"/>
      <c r="ETC4739" s="692"/>
      <c r="ETD4739" s="695"/>
      <c r="ETE4739" s="692"/>
      <c r="ETF4739" s="695"/>
      <c r="ETG4739" s="692"/>
      <c r="ETH4739" s="695"/>
      <c r="ETI4739" s="692"/>
      <c r="ETJ4739" s="695"/>
      <c r="ETK4739" s="692"/>
      <c r="ETL4739" s="695"/>
      <c r="ETM4739" s="692"/>
      <c r="ETN4739" s="695"/>
      <c r="ETO4739" s="692"/>
      <c r="ETP4739" s="695"/>
      <c r="ETQ4739" s="692"/>
      <c r="ETR4739" s="695"/>
      <c r="ETS4739" s="692"/>
      <c r="ETT4739" s="695"/>
      <c r="ETU4739" s="692"/>
      <c r="ETV4739" s="695"/>
      <c r="ETW4739" s="692"/>
      <c r="ETX4739" s="695"/>
      <c r="ETY4739" s="692"/>
      <c r="ETZ4739" s="695"/>
      <c r="EUA4739" s="692"/>
      <c r="EUB4739" s="695"/>
      <c r="EUC4739" s="692"/>
      <c r="EUD4739" s="695"/>
      <c r="EUE4739" s="692"/>
      <c r="EUF4739" s="695"/>
      <c r="EUG4739" s="692"/>
      <c r="EUH4739" s="695"/>
      <c r="EUI4739" s="692"/>
      <c r="EUJ4739" s="695"/>
      <c r="EUK4739" s="692"/>
      <c r="EUL4739" s="695"/>
      <c r="EUM4739" s="692"/>
      <c r="EUN4739" s="695"/>
      <c r="EUO4739" s="692"/>
      <c r="EUP4739" s="695"/>
      <c r="EUQ4739" s="692"/>
      <c r="EUR4739" s="695"/>
      <c r="EUS4739" s="692"/>
      <c r="EUT4739" s="695"/>
      <c r="EUU4739" s="692"/>
      <c r="EUV4739" s="695"/>
      <c r="EUW4739" s="692"/>
      <c r="EUX4739" s="695"/>
      <c r="EUY4739" s="692"/>
      <c r="EUZ4739" s="695"/>
      <c r="EVA4739" s="692"/>
      <c r="EVB4739" s="695"/>
      <c r="EVC4739" s="692"/>
      <c r="EVD4739" s="695"/>
      <c r="EVE4739" s="692"/>
      <c r="EVF4739" s="695"/>
      <c r="EVG4739" s="692"/>
      <c r="EVH4739" s="695"/>
      <c r="EVI4739" s="692"/>
      <c r="EVJ4739" s="695"/>
      <c r="EVK4739" s="692"/>
      <c r="EVL4739" s="695"/>
      <c r="EVM4739" s="692"/>
      <c r="EVN4739" s="695"/>
      <c r="EVO4739" s="692"/>
      <c r="EVP4739" s="695"/>
      <c r="EVQ4739" s="692"/>
      <c r="EVR4739" s="695"/>
      <c r="EVS4739" s="692"/>
      <c r="EVT4739" s="695"/>
      <c r="EVU4739" s="692"/>
      <c r="EVV4739" s="695"/>
      <c r="EVW4739" s="692"/>
      <c r="EVX4739" s="695"/>
      <c r="EVY4739" s="692"/>
      <c r="EVZ4739" s="695"/>
      <c r="EWA4739" s="692"/>
      <c r="EWB4739" s="695"/>
      <c r="EWC4739" s="692"/>
      <c r="EWD4739" s="695"/>
      <c r="EWE4739" s="692"/>
      <c r="EWF4739" s="695"/>
      <c r="EWG4739" s="692"/>
      <c r="EWH4739" s="695"/>
      <c r="EWI4739" s="692"/>
      <c r="EWJ4739" s="695"/>
      <c r="EWK4739" s="692"/>
      <c r="EWL4739" s="695"/>
      <c r="EWM4739" s="692"/>
      <c r="EWN4739" s="695"/>
      <c r="EWO4739" s="692"/>
      <c r="EWP4739" s="695"/>
      <c r="EWQ4739" s="692"/>
      <c r="EWR4739" s="695"/>
      <c r="EWS4739" s="692"/>
      <c r="EWT4739" s="695"/>
      <c r="EWU4739" s="692"/>
      <c r="EWV4739" s="695"/>
      <c r="EWW4739" s="692"/>
      <c r="EWX4739" s="695"/>
      <c r="EWY4739" s="692"/>
      <c r="EWZ4739" s="695"/>
      <c r="EXA4739" s="692"/>
      <c r="EXB4739" s="695"/>
      <c r="EXC4739" s="692"/>
      <c r="EXD4739" s="695"/>
      <c r="EXE4739" s="692"/>
      <c r="EXF4739" s="695"/>
      <c r="EXG4739" s="692"/>
      <c r="EXH4739" s="695"/>
      <c r="EXI4739" s="692"/>
      <c r="EXJ4739" s="695"/>
      <c r="EXK4739" s="692"/>
      <c r="EXL4739" s="695"/>
      <c r="EXM4739" s="692"/>
      <c r="EXN4739" s="695"/>
      <c r="EXO4739" s="692"/>
      <c r="EXP4739" s="695"/>
      <c r="EXQ4739" s="692"/>
      <c r="EXR4739" s="695"/>
      <c r="EXS4739" s="692"/>
      <c r="EXT4739" s="695"/>
      <c r="EXU4739" s="692"/>
      <c r="EXV4739" s="695"/>
      <c r="EXW4739" s="692"/>
      <c r="EXX4739" s="695"/>
      <c r="EXY4739" s="692"/>
      <c r="EXZ4739" s="695"/>
      <c r="EYA4739" s="692"/>
      <c r="EYB4739" s="695"/>
      <c r="EYC4739" s="692"/>
      <c r="EYD4739" s="695"/>
      <c r="EYE4739" s="692"/>
      <c r="EYF4739" s="695"/>
      <c r="EYG4739" s="692"/>
      <c r="EYH4739" s="695"/>
      <c r="EYI4739" s="692"/>
      <c r="EYJ4739" s="695"/>
      <c r="EYK4739" s="692"/>
      <c r="EYL4739" s="695"/>
      <c r="EYM4739" s="692"/>
      <c r="EYN4739" s="695"/>
      <c r="EYO4739" s="692"/>
      <c r="EYP4739" s="695"/>
      <c r="EYQ4739" s="692"/>
      <c r="EYR4739" s="695"/>
      <c r="EYS4739" s="692"/>
      <c r="EYT4739" s="695"/>
      <c r="EYU4739" s="692"/>
      <c r="EYV4739" s="695"/>
      <c r="EYW4739" s="692"/>
      <c r="EYX4739" s="695"/>
      <c r="EYY4739" s="692"/>
      <c r="EYZ4739" s="695"/>
      <c r="EZA4739" s="692"/>
      <c r="EZB4739" s="695"/>
      <c r="EZC4739" s="692"/>
      <c r="EZD4739" s="695"/>
      <c r="EZE4739" s="692"/>
      <c r="EZF4739" s="695"/>
      <c r="EZG4739" s="692"/>
      <c r="EZH4739" s="695"/>
      <c r="EZI4739" s="692"/>
      <c r="EZJ4739" s="695"/>
      <c r="EZK4739" s="692"/>
      <c r="EZL4739" s="695"/>
      <c r="EZM4739" s="692"/>
      <c r="EZN4739" s="695"/>
      <c r="EZO4739" s="692"/>
      <c r="EZP4739" s="695"/>
      <c r="EZQ4739" s="692"/>
      <c r="EZR4739" s="695"/>
      <c r="EZS4739" s="692"/>
      <c r="EZT4739" s="695"/>
      <c r="EZU4739" s="692"/>
      <c r="EZV4739" s="695"/>
      <c r="EZW4739" s="692"/>
      <c r="EZX4739" s="695"/>
      <c r="EZY4739" s="692"/>
      <c r="EZZ4739" s="695"/>
      <c r="FAA4739" s="692"/>
      <c r="FAB4739" s="695"/>
      <c r="FAC4739" s="692"/>
      <c r="FAD4739" s="695"/>
      <c r="FAE4739" s="692"/>
      <c r="FAF4739" s="695"/>
      <c r="FAG4739" s="692"/>
      <c r="FAH4739" s="695"/>
      <c r="FAI4739" s="692"/>
      <c r="FAJ4739" s="695"/>
      <c r="FAK4739" s="692"/>
      <c r="FAL4739" s="695"/>
      <c r="FAM4739" s="692"/>
      <c r="FAN4739" s="695"/>
      <c r="FAO4739" s="692"/>
      <c r="FAP4739" s="695"/>
      <c r="FAQ4739" s="692"/>
      <c r="FAR4739" s="695"/>
      <c r="FAS4739" s="692"/>
      <c r="FAT4739" s="695"/>
      <c r="FAU4739" s="692"/>
      <c r="FAV4739" s="695"/>
      <c r="FAW4739" s="692"/>
      <c r="FAX4739" s="695"/>
      <c r="FAY4739" s="692"/>
      <c r="FAZ4739" s="695"/>
      <c r="FBA4739" s="692"/>
      <c r="FBB4739" s="695"/>
      <c r="FBC4739" s="692"/>
      <c r="FBD4739" s="695"/>
      <c r="FBE4739" s="692"/>
      <c r="FBF4739" s="695"/>
      <c r="FBG4739" s="692"/>
      <c r="FBH4739" s="695"/>
      <c r="FBI4739" s="692"/>
      <c r="FBJ4739" s="695"/>
      <c r="FBK4739" s="692"/>
      <c r="FBL4739" s="695"/>
      <c r="FBM4739" s="692"/>
      <c r="FBN4739" s="695"/>
      <c r="FBO4739" s="692"/>
      <c r="FBP4739" s="695"/>
      <c r="FBQ4739" s="692"/>
      <c r="FBR4739" s="695"/>
      <c r="FBS4739" s="692"/>
      <c r="FBT4739" s="695"/>
      <c r="FBU4739" s="692"/>
      <c r="FBV4739" s="695"/>
      <c r="FBW4739" s="692"/>
      <c r="FBX4739" s="695"/>
      <c r="FBY4739" s="692"/>
      <c r="FBZ4739" s="695"/>
      <c r="FCA4739" s="692"/>
      <c r="FCB4739" s="695"/>
      <c r="FCC4739" s="692"/>
      <c r="FCD4739" s="695"/>
      <c r="FCE4739" s="692"/>
      <c r="FCF4739" s="695"/>
      <c r="FCG4739" s="692"/>
      <c r="FCH4739" s="695"/>
      <c r="FCI4739" s="692"/>
      <c r="FCJ4739" s="695"/>
      <c r="FCK4739" s="692"/>
      <c r="FCL4739" s="695"/>
      <c r="FCM4739" s="692"/>
      <c r="FCN4739" s="695"/>
      <c r="FCO4739" s="692"/>
      <c r="FCP4739" s="695"/>
      <c r="FCQ4739" s="692"/>
      <c r="FCR4739" s="695"/>
      <c r="FCS4739" s="692"/>
      <c r="FCT4739" s="695"/>
      <c r="FCU4739" s="692"/>
      <c r="FCV4739" s="695"/>
      <c r="FCW4739" s="692"/>
      <c r="FCX4739" s="695"/>
      <c r="FCY4739" s="692"/>
      <c r="FCZ4739" s="695"/>
      <c r="FDA4739" s="692"/>
      <c r="FDB4739" s="695"/>
      <c r="FDC4739" s="692"/>
      <c r="FDD4739" s="695"/>
      <c r="FDE4739" s="692"/>
      <c r="FDF4739" s="695"/>
      <c r="FDG4739" s="692"/>
      <c r="FDH4739" s="695"/>
      <c r="FDI4739" s="692"/>
      <c r="FDJ4739" s="695"/>
      <c r="FDK4739" s="692"/>
      <c r="FDL4739" s="695"/>
      <c r="FDM4739" s="692"/>
      <c r="FDN4739" s="695"/>
      <c r="FDO4739" s="692"/>
      <c r="FDP4739" s="695"/>
      <c r="FDQ4739" s="692"/>
      <c r="FDR4739" s="695"/>
      <c r="FDS4739" s="692"/>
      <c r="FDT4739" s="695"/>
      <c r="FDU4739" s="692"/>
      <c r="FDV4739" s="695"/>
      <c r="FDW4739" s="692"/>
      <c r="FDX4739" s="695"/>
      <c r="FDY4739" s="692"/>
      <c r="FDZ4739" s="695"/>
      <c r="FEA4739" s="692"/>
      <c r="FEB4739" s="695"/>
      <c r="FEC4739" s="692"/>
      <c r="FED4739" s="695"/>
      <c r="FEE4739" s="692"/>
      <c r="FEF4739" s="695"/>
      <c r="FEG4739" s="692"/>
      <c r="FEH4739" s="695"/>
      <c r="FEI4739" s="692"/>
      <c r="FEJ4739" s="695"/>
      <c r="FEK4739" s="692"/>
      <c r="FEL4739" s="695"/>
      <c r="FEM4739" s="692"/>
      <c r="FEN4739" s="695"/>
      <c r="FEO4739" s="692"/>
      <c r="FEP4739" s="695"/>
      <c r="FEQ4739" s="692"/>
      <c r="FER4739" s="695"/>
      <c r="FES4739" s="692"/>
      <c r="FET4739" s="695"/>
      <c r="FEU4739" s="692"/>
      <c r="FEV4739" s="695"/>
      <c r="FEW4739" s="692"/>
      <c r="FEX4739" s="695"/>
      <c r="FEY4739" s="692"/>
      <c r="FEZ4739" s="695"/>
      <c r="FFA4739" s="692"/>
      <c r="FFB4739" s="695"/>
      <c r="FFC4739" s="692"/>
      <c r="FFD4739" s="695"/>
      <c r="FFE4739" s="692"/>
      <c r="FFF4739" s="695"/>
      <c r="FFG4739" s="692"/>
      <c r="FFH4739" s="695"/>
      <c r="FFI4739" s="692"/>
      <c r="FFJ4739" s="695"/>
      <c r="FFK4739" s="692"/>
      <c r="FFL4739" s="695"/>
      <c r="FFM4739" s="692"/>
      <c r="FFN4739" s="695"/>
      <c r="FFO4739" s="692"/>
      <c r="FFP4739" s="695"/>
      <c r="FFQ4739" s="692"/>
      <c r="FFR4739" s="695"/>
      <c r="FFS4739" s="692"/>
      <c r="FFT4739" s="695"/>
      <c r="FFU4739" s="692"/>
      <c r="FFV4739" s="695"/>
      <c r="FFW4739" s="692"/>
      <c r="FFX4739" s="695"/>
      <c r="FFY4739" s="692"/>
      <c r="FFZ4739" s="695"/>
      <c r="FGA4739" s="692"/>
      <c r="FGB4739" s="695"/>
      <c r="FGC4739" s="692"/>
      <c r="FGD4739" s="695"/>
      <c r="FGE4739" s="692"/>
      <c r="FGF4739" s="695"/>
      <c r="FGG4739" s="692"/>
      <c r="FGH4739" s="695"/>
      <c r="FGI4739" s="692"/>
      <c r="FGJ4739" s="695"/>
      <c r="FGK4739" s="692"/>
      <c r="FGL4739" s="695"/>
      <c r="FGM4739" s="692"/>
      <c r="FGN4739" s="695"/>
      <c r="FGO4739" s="692"/>
      <c r="FGP4739" s="695"/>
      <c r="FGQ4739" s="692"/>
      <c r="FGR4739" s="695"/>
      <c r="FGS4739" s="692"/>
      <c r="FGT4739" s="695"/>
      <c r="FGU4739" s="692"/>
      <c r="FGV4739" s="695"/>
      <c r="FGW4739" s="692"/>
      <c r="FGX4739" s="695"/>
      <c r="FGY4739" s="692"/>
      <c r="FGZ4739" s="695"/>
      <c r="FHA4739" s="692"/>
      <c r="FHB4739" s="695"/>
      <c r="FHC4739" s="692"/>
      <c r="FHD4739" s="695"/>
      <c r="FHE4739" s="692"/>
      <c r="FHF4739" s="695"/>
      <c r="FHG4739" s="692"/>
      <c r="FHH4739" s="695"/>
      <c r="FHI4739" s="692"/>
      <c r="FHJ4739" s="695"/>
      <c r="FHK4739" s="692"/>
      <c r="FHL4739" s="695"/>
      <c r="FHM4739" s="692"/>
      <c r="FHN4739" s="695"/>
      <c r="FHO4739" s="692"/>
      <c r="FHP4739" s="695"/>
      <c r="FHQ4739" s="692"/>
      <c r="FHR4739" s="695"/>
      <c r="FHS4739" s="692"/>
      <c r="FHT4739" s="695"/>
      <c r="FHU4739" s="692"/>
      <c r="FHV4739" s="695"/>
      <c r="FHW4739" s="692"/>
      <c r="FHX4739" s="695"/>
      <c r="FHY4739" s="692"/>
      <c r="FHZ4739" s="695"/>
      <c r="FIA4739" s="692"/>
      <c r="FIB4739" s="695"/>
      <c r="FIC4739" s="692"/>
      <c r="FID4739" s="695"/>
      <c r="FIE4739" s="692"/>
      <c r="FIF4739" s="695"/>
      <c r="FIG4739" s="692"/>
      <c r="FIH4739" s="695"/>
      <c r="FII4739" s="692"/>
      <c r="FIJ4739" s="695"/>
      <c r="FIK4739" s="692"/>
      <c r="FIL4739" s="695"/>
      <c r="FIM4739" s="692"/>
      <c r="FIN4739" s="695"/>
      <c r="FIO4739" s="692"/>
      <c r="FIP4739" s="695"/>
      <c r="FIQ4739" s="692"/>
      <c r="FIR4739" s="695"/>
      <c r="FIS4739" s="692"/>
      <c r="FIT4739" s="695"/>
      <c r="FIU4739" s="692"/>
      <c r="FIV4739" s="695"/>
      <c r="FIW4739" s="692"/>
      <c r="FIX4739" s="695"/>
      <c r="FIY4739" s="692"/>
      <c r="FIZ4739" s="695"/>
      <c r="FJA4739" s="692"/>
      <c r="FJB4739" s="695"/>
      <c r="FJC4739" s="692"/>
      <c r="FJD4739" s="695"/>
      <c r="FJE4739" s="692"/>
      <c r="FJF4739" s="695"/>
      <c r="FJG4739" s="692"/>
      <c r="FJH4739" s="695"/>
      <c r="FJI4739" s="692"/>
      <c r="FJJ4739" s="695"/>
      <c r="FJK4739" s="692"/>
      <c r="FJL4739" s="695"/>
      <c r="FJM4739" s="692"/>
      <c r="FJN4739" s="695"/>
      <c r="FJO4739" s="692"/>
      <c r="FJP4739" s="695"/>
      <c r="FJQ4739" s="692"/>
      <c r="FJR4739" s="695"/>
      <c r="FJS4739" s="692"/>
      <c r="FJT4739" s="695"/>
      <c r="FJU4739" s="692"/>
      <c r="FJV4739" s="695"/>
      <c r="FJW4739" s="692"/>
      <c r="FJX4739" s="695"/>
      <c r="FJY4739" s="692"/>
      <c r="FJZ4739" s="695"/>
      <c r="FKA4739" s="692"/>
      <c r="FKB4739" s="695"/>
      <c r="FKC4739" s="692"/>
      <c r="FKD4739" s="695"/>
      <c r="FKE4739" s="692"/>
      <c r="FKF4739" s="695"/>
      <c r="FKG4739" s="692"/>
      <c r="FKH4739" s="695"/>
      <c r="FKI4739" s="692"/>
      <c r="FKJ4739" s="695"/>
      <c r="FKK4739" s="692"/>
      <c r="FKL4739" s="695"/>
      <c r="FKM4739" s="692"/>
      <c r="FKN4739" s="695"/>
      <c r="FKO4739" s="692"/>
      <c r="FKP4739" s="695"/>
      <c r="FKQ4739" s="692"/>
      <c r="FKR4739" s="695"/>
      <c r="FKS4739" s="692"/>
      <c r="FKT4739" s="695"/>
      <c r="FKU4739" s="692"/>
      <c r="FKV4739" s="695"/>
      <c r="FKW4739" s="692"/>
      <c r="FKX4739" s="695"/>
      <c r="FKY4739" s="692"/>
      <c r="FKZ4739" s="695"/>
      <c r="FLA4739" s="692"/>
      <c r="FLB4739" s="695"/>
      <c r="FLC4739" s="692"/>
      <c r="FLD4739" s="695"/>
      <c r="FLE4739" s="692"/>
      <c r="FLF4739" s="695"/>
      <c r="FLG4739" s="692"/>
      <c r="FLH4739" s="695"/>
      <c r="FLI4739" s="692"/>
      <c r="FLJ4739" s="695"/>
      <c r="FLK4739" s="692"/>
      <c r="FLL4739" s="695"/>
      <c r="FLM4739" s="692"/>
      <c r="FLN4739" s="695"/>
      <c r="FLO4739" s="692"/>
      <c r="FLP4739" s="695"/>
      <c r="FLQ4739" s="692"/>
      <c r="FLR4739" s="695"/>
      <c r="FLS4739" s="692"/>
      <c r="FLT4739" s="695"/>
      <c r="FLU4739" s="692"/>
      <c r="FLV4739" s="695"/>
      <c r="FLW4739" s="692"/>
      <c r="FLX4739" s="695"/>
      <c r="FLY4739" s="692"/>
      <c r="FLZ4739" s="695"/>
      <c r="FMA4739" s="692"/>
      <c r="FMB4739" s="695"/>
      <c r="FMC4739" s="692"/>
      <c r="FMD4739" s="695"/>
      <c r="FME4739" s="692"/>
      <c r="FMF4739" s="695"/>
      <c r="FMG4739" s="692"/>
      <c r="FMH4739" s="695"/>
      <c r="FMI4739" s="692"/>
      <c r="FMJ4739" s="695"/>
      <c r="FMK4739" s="692"/>
      <c r="FML4739" s="695"/>
      <c r="FMM4739" s="692"/>
      <c r="FMN4739" s="695"/>
      <c r="FMO4739" s="692"/>
      <c r="FMP4739" s="695"/>
      <c r="FMQ4739" s="692"/>
      <c r="FMR4739" s="695"/>
      <c r="FMS4739" s="692"/>
      <c r="FMT4739" s="695"/>
      <c r="FMU4739" s="692"/>
      <c r="FMV4739" s="695"/>
      <c r="FMW4739" s="692"/>
      <c r="FMX4739" s="695"/>
      <c r="FMY4739" s="692"/>
      <c r="FMZ4739" s="695"/>
      <c r="FNA4739" s="692"/>
      <c r="FNB4739" s="695"/>
      <c r="FNC4739" s="692"/>
      <c r="FND4739" s="695"/>
      <c r="FNE4739" s="692"/>
      <c r="FNF4739" s="695"/>
      <c r="FNG4739" s="692"/>
      <c r="FNH4739" s="695"/>
      <c r="FNI4739" s="692"/>
      <c r="FNJ4739" s="695"/>
      <c r="FNK4739" s="692"/>
      <c r="FNL4739" s="695"/>
      <c r="FNM4739" s="692"/>
      <c r="FNN4739" s="695"/>
      <c r="FNO4739" s="692"/>
      <c r="FNP4739" s="695"/>
      <c r="FNQ4739" s="692"/>
      <c r="FNR4739" s="695"/>
      <c r="FNS4739" s="692"/>
      <c r="FNT4739" s="695"/>
      <c r="FNU4739" s="692"/>
      <c r="FNV4739" s="695"/>
      <c r="FNW4739" s="692"/>
      <c r="FNX4739" s="695"/>
      <c r="FNY4739" s="692"/>
      <c r="FNZ4739" s="695"/>
      <c r="FOA4739" s="692"/>
      <c r="FOB4739" s="695"/>
      <c r="FOC4739" s="692"/>
      <c r="FOD4739" s="695"/>
      <c r="FOE4739" s="692"/>
      <c r="FOF4739" s="695"/>
      <c r="FOG4739" s="692"/>
      <c r="FOH4739" s="695"/>
      <c r="FOI4739" s="692"/>
      <c r="FOJ4739" s="695"/>
      <c r="FOK4739" s="692"/>
      <c r="FOL4739" s="695"/>
      <c r="FOM4739" s="692"/>
      <c r="FON4739" s="695"/>
      <c r="FOO4739" s="692"/>
      <c r="FOP4739" s="695"/>
      <c r="FOQ4739" s="692"/>
      <c r="FOR4739" s="695"/>
      <c r="FOS4739" s="692"/>
      <c r="FOT4739" s="695"/>
      <c r="FOU4739" s="692"/>
      <c r="FOV4739" s="695"/>
      <c r="FOW4739" s="692"/>
      <c r="FOX4739" s="695"/>
      <c r="FOY4739" s="692"/>
      <c r="FOZ4739" s="695"/>
      <c r="FPA4739" s="692"/>
      <c r="FPB4739" s="695"/>
      <c r="FPC4739" s="692"/>
      <c r="FPD4739" s="695"/>
      <c r="FPE4739" s="692"/>
      <c r="FPF4739" s="695"/>
      <c r="FPG4739" s="692"/>
      <c r="FPH4739" s="695"/>
      <c r="FPI4739" s="692"/>
      <c r="FPJ4739" s="695"/>
      <c r="FPK4739" s="692"/>
      <c r="FPL4739" s="695"/>
      <c r="FPM4739" s="692"/>
      <c r="FPN4739" s="695"/>
      <c r="FPO4739" s="692"/>
      <c r="FPP4739" s="695"/>
      <c r="FPQ4739" s="692"/>
      <c r="FPR4739" s="695"/>
      <c r="FPS4739" s="692"/>
      <c r="FPT4739" s="695"/>
      <c r="FPU4739" s="692"/>
      <c r="FPV4739" s="695"/>
      <c r="FPW4739" s="692"/>
      <c r="FPX4739" s="695"/>
      <c r="FPY4739" s="692"/>
      <c r="FPZ4739" s="695"/>
      <c r="FQA4739" s="692"/>
      <c r="FQB4739" s="695"/>
      <c r="FQC4739" s="692"/>
      <c r="FQD4739" s="695"/>
      <c r="FQE4739" s="692"/>
      <c r="FQF4739" s="695"/>
      <c r="FQG4739" s="692"/>
      <c r="FQH4739" s="695"/>
      <c r="FQI4739" s="692"/>
      <c r="FQJ4739" s="695"/>
      <c r="FQK4739" s="692"/>
      <c r="FQL4739" s="695"/>
      <c r="FQM4739" s="692"/>
      <c r="FQN4739" s="695"/>
      <c r="FQO4739" s="692"/>
      <c r="FQP4739" s="695"/>
      <c r="FQQ4739" s="692"/>
      <c r="FQR4739" s="695"/>
      <c r="FQS4739" s="692"/>
      <c r="FQT4739" s="695"/>
      <c r="FQU4739" s="692"/>
      <c r="FQV4739" s="695"/>
      <c r="FQW4739" s="692"/>
      <c r="FQX4739" s="695"/>
      <c r="FQY4739" s="692"/>
      <c r="FQZ4739" s="695"/>
      <c r="FRA4739" s="692"/>
      <c r="FRB4739" s="695"/>
      <c r="FRC4739" s="692"/>
      <c r="FRD4739" s="695"/>
      <c r="FRE4739" s="692"/>
      <c r="FRF4739" s="695"/>
      <c r="FRG4739" s="692"/>
      <c r="FRH4739" s="695"/>
      <c r="FRI4739" s="692"/>
      <c r="FRJ4739" s="695"/>
      <c r="FRK4739" s="692"/>
      <c r="FRL4739" s="695"/>
      <c r="FRM4739" s="692"/>
      <c r="FRN4739" s="695"/>
      <c r="FRO4739" s="692"/>
      <c r="FRP4739" s="695"/>
      <c r="FRQ4739" s="692"/>
      <c r="FRR4739" s="695"/>
      <c r="FRS4739" s="692"/>
      <c r="FRT4739" s="695"/>
      <c r="FRU4739" s="692"/>
      <c r="FRV4739" s="695"/>
      <c r="FRW4739" s="692"/>
      <c r="FRX4739" s="695"/>
      <c r="FRY4739" s="692"/>
      <c r="FRZ4739" s="695"/>
      <c r="FSA4739" s="692"/>
      <c r="FSB4739" s="695"/>
      <c r="FSC4739" s="692"/>
      <c r="FSD4739" s="695"/>
      <c r="FSE4739" s="692"/>
      <c r="FSF4739" s="695"/>
      <c r="FSG4739" s="692"/>
      <c r="FSH4739" s="695"/>
      <c r="FSI4739" s="692"/>
      <c r="FSJ4739" s="695"/>
      <c r="FSK4739" s="692"/>
      <c r="FSL4739" s="695"/>
      <c r="FSM4739" s="692"/>
      <c r="FSN4739" s="695"/>
      <c r="FSO4739" s="692"/>
      <c r="FSP4739" s="695"/>
      <c r="FSQ4739" s="692"/>
      <c r="FSR4739" s="695"/>
      <c r="FSS4739" s="692"/>
      <c r="FST4739" s="695"/>
      <c r="FSU4739" s="692"/>
      <c r="FSV4739" s="695"/>
      <c r="FSW4739" s="692"/>
      <c r="FSX4739" s="695"/>
      <c r="FSY4739" s="692"/>
      <c r="FSZ4739" s="695"/>
      <c r="FTA4739" s="692"/>
      <c r="FTB4739" s="695"/>
      <c r="FTC4739" s="692"/>
      <c r="FTD4739" s="695"/>
      <c r="FTE4739" s="692"/>
      <c r="FTF4739" s="695"/>
      <c r="FTG4739" s="692"/>
      <c r="FTH4739" s="695"/>
      <c r="FTI4739" s="692"/>
      <c r="FTJ4739" s="695"/>
      <c r="FTK4739" s="692"/>
      <c r="FTL4739" s="695"/>
      <c r="FTM4739" s="692"/>
      <c r="FTN4739" s="695"/>
      <c r="FTO4739" s="692"/>
      <c r="FTP4739" s="695"/>
      <c r="FTQ4739" s="692"/>
      <c r="FTR4739" s="695"/>
      <c r="FTS4739" s="692"/>
      <c r="FTT4739" s="695"/>
      <c r="FTU4739" s="692"/>
      <c r="FTV4739" s="695"/>
      <c r="FTW4739" s="692"/>
      <c r="FTX4739" s="695"/>
      <c r="FTY4739" s="692"/>
      <c r="FTZ4739" s="695"/>
      <c r="FUA4739" s="692"/>
      <c r="FUB4739" s="695"/>
      <c r="FUC4739" s="692"/>
      <c r="FUD4739" s="695"/>
      <c r="FUE4739" s="692"/>
      <c r="FUF4739" s="695"/>
      <c r="FUG4739" s="692"/>
      <c r="FUH4739" s="695"/>
      <c r="FUI4739" s="692"/>
      <c r="FUJ4739" s="695"/>
      <c r="FUK4739" s="692"/>
      <c r="FUL4739" s="695"/>
      <c r="FUM4739" s="692"/>
      <c r="FUN4739" s="695"/>
      <c r="FUO4739" s="692"/>
      <c r="FUP4739" s="695"/>
      <c r="FUQ4739" s="692"/>
      <c r="FUR4739" s="695"/>
      <c r="FUS4739" s="692"/>
      <c r="FUT4739" s="695"/>
      <c r="FUU4739" s="692"/>
      <c r="FUV4739" s="695"/>
      <c r="FUW4739" s="692"/>
      <c r="FUX4739" s="695"/>
      <c r="FUY4739" s="692"/>
      <c r="FUZ4739" s="695"/>
      <c r="FVA4739" s="692"/>
      <c r="FVB4739" s="695"/>
      <c r="FVC4739" s="692"/>
      <c r="FVD4739" s="695"/>
      <c r="FVE4739" s="692"/>
      <c r="FVF4739" s="695"/>
      <c r="FVG4739" s="692"/>
      <c r="FVH4739" s="695"/>
      <c r="FVI4739" s="692"/>
      <c r="FVJ4739" s="695"/>
      <c r="FVK4739" s="692"/>
      <c r="FVL4739" s="695"/>
      <c r="FVM4739" s="692"/>
      <c r="FVN4739" s="695"/>
      <c r="FVO4739" s="692"/>
      <c r="FVP4739" s="695"/>
      <c r="FVQ4739" s="692"/>
      <c r="FVR4739" s="695"/>
      <c r="FVS4739" s="692"/>
      <c r="FVT4739" s="695"/>
      <c r="FVU4739" s="692"/>
      <c r="FVV4739" s="695"/>
      <c r="FVW4739" s="692"/>
      <c r="FVX4739" s="695"/>
      <c r="FVY4739" s="692"/>
      <c r="FVZ4739" s="695"/>
      <c r="FWA4739" s="692"/>
      <c r="FWB4739" s="695"/>
      <c r="FWC4739" s="692"/>
      <c r="FWD4739" s="695"/>
      <c r="FWE4739" s="692"/>
      <c r="FWF4739" s="695"/>
      <c r="FWG4739" s="692"/>
      <c r="FWH4739" s="695"/>
      <c r="FWI4739" s="692"/>
      <c r="FWJ4739" s="695"/>
      <c r="FWK4739" s="692"/>
      <c r="FWL4739" s="695"/>
      <c r="FWM4739" s="692"/>
      <c r="FWN4739" s="695"/>
      <c r="FWO4739" s="692"/>
      <c r="FWP4739" s="695"/>
      <c r="FWQ4739" s="692"/>
      <c r="FWR4739" s="695"/>
      <c r="FWS4739" s="692"/>
      <c r="FWT4739" s="695"/>
      <c r="FWU4739" s="692"/>
      <c r="FWV4739" s="695"/>
      <c r="FWW4739" s="692"/>
      <c r="FWX4739" s="695"/>
      <c r="FWY4739" s="692"/>
      <c r="FWZ4739" s="695"/>
      <c r="FXA4739" s="692"/>
      <c r="FXB4739" s="695"/>
      <c r="FXC4739" s="692"/>
      <c r="FXD4739" s="695"/>
      <c r="FXE4739" s="692"/>
      <c r="FXF4739" s="695"/>
      <c r="FXG4739" s="692"/>
      <c r="FXH4739" s="695"/>
      <c r="FXI4739" s="692"/>
      <c r="FXJ4739" s="695"/>
      <c r="FXK4739" s="692"/>
      <c r="FXL4739" s="695"/>
      <c r="FXM4739" s="692"/>
      <c r="FXN4739" s="695"/>
      <c r="FXO4739" s="692"/>
      <c r="FXP4739" s="695"/>
      <c r="FXQ4739" s="692"/>
      <c r="FXR4739" s="695"/>
      <c r="FXS4739" s="692"/>
      <c r="FXT4739" s="695"/>
      <c r="FXU4739" s="692"/>
      <c r="FXV4739" s="695"/>
      <c r="FXW4739" s="692"/>
      <c r="FXX4739" s="695"/>
      <c r="FXY4739" s="692"/>
      <c r="FXZ4739" s="695"/>
      <c r="FYA4739" s="692"/>
      <c r="FYB4739" s="695"/>
      <c r="FYC4739" s="692"/>
      <c r="FYD4739" s="695"/>
      <c r="FYE4739" s="692"/>
      <c r="FYF4739" s="695"/>
      <c r="FYG4739" s="692"/>
      <c r="FYH4739" s="695"/>
      <c r="FYI4739" s="692"/>
      <c r="FYJ4739" s="695"/>
      <c r="FYK4739" s="692"/>
      <c r="FYL4739" s="695"/>
      <c r="FYM4739" s="692"/>
      <c r="FYN4739" s="695"/>
      <c r="FYO4739" s="692"/>
      <c r="FYP4739" s="695"/>
      <c r="FYQ4739" s="692"/>
      <c r="FYR4739" s="695"/>
      <c r="FYS4739" s="692"/>
      <c r="FYT4739" s="695"/>
      <c r="FYU4739" s="692"/>
      <c r="FYV4739" s="695"/>
      <c r="FYW4739" s="692"/>
      <c r="FYX4739" s="695"/>
      <c r="FYY4739" s="692"/>
      <c r="FYZ4739" s="695"/>
      <c r="FZA4739" s="692"/>
      <c r="FZB4739" s="695"/>
      <c r="FZC4739" s="692"/>
      <c r="FZD4739" s="695"/>
      <c r="FZE4739" s="692"/>
      <c r="FZF4739" s="695"/>
      <c r="FZG4739" s="692"/>
      <c r="FZH4739" s="695"/>
      <c r="FZI4739" s="692"/>
      <c r="FZJ4739" s="695"/>
      <c r="FZK4739" s="692"/>
      <c r="FZL4739" s="695"/>
      <c r="FZM4739" s="692"/>
      <c r="FZN4739" s="695"/>
      <c r="FZO4739" s="692"/>
      <c r="FZP4739" s="695"/>
      <c r="FZQ4739" s="692"/>
      <c r="FZR4739" s="695"/>
      <c r="FZS4739" s="692"/>
      <c r="FZT4739" s="695"/>
      <c r="FZU4739" s="692"/>
      <c r="FZV4739" s="695"/>
      <c r="FZW4739" s="692"/>
      <c r="FZX4739" s="695"/>
      <c r="FZY4739" s="692"/>
      <c r="FZZ4739" s="695"/>
      <c r="GAA4739" s="692"/>
      <c r="GAB4739" s="695"/>
      <c r="GAC4739" s="692"/>
      <c r="GAD4739" s="695"/>
      <c r="GAE4739" s="692"/>
      <c r="GAF4739" s="695"/>
      <c r="GAG4739" s="692"/>
      <c r="GAH4739" s="695"/>
      <c r="GAI4739" s="692"/>
      <c r="GAJ4739" s="695"/>
      <c r="GAK4739" s="692"/>
      <c r="GAL4739" s="695"/>
      <c r="GAM4739" s="692"/>
      <c r="GAN4739" s="695"/>
      <c r="GAO4739" s="692"/>
      <c r="GAP4739" s="695"/>
      <c r="GAQ4739" s="692"/>
      <c r="GAR4739" s="695"/>
      <c r="GAS4739" s="692"/>
      <c r="GAT4739" s="695"/>
      <c r="GAU4739" s="692"/>
      <c r="GAV4739" s="695"/>
      <c r="GAW4739" s="692"/>
      <c r="GAX4739" s="695"/>
      <c r="GAY4739" s="692"/>
      <c r="GAZ4739" s="695"/>
      <c r="GBA4739" s="692"/>
      <c r="GBB4739" s="695"/>
      <c r="GBC4739" s="692"/>
      <c r="GBD4739" s="695"/>
      <c r="GBE4739" s="692"/>
      <c r="GBF4739" s="695"/>
      <c r="GBG4739" s="692"/>
      <c r="GBH4739" s="695"/>
      <c r="GBI4739" s="692"/>
      <c r="GBJ4739" s="695"/>
      <c r="GBK4739" s="692"/>
      <c r="GBL4739" s="695"/>
      <c r="GBM4739" s="692"/>
      <c r="GBN4739" s="695"/>
      <c r="GBO4739" s="692"/>
      <c r="GBP4739" s="695"/>
      <c r="GBQ4739" s="692"/>
      <c r="GBR4739" s="695"/>
      <c r="GBS4739" s="692"/>
      <c r="GBT4739" s="695"/>
      <c r="GBU4739" s="692"/>
      <c r="GBV4739" s="695"/>
      <c r="GBW4739" s="692"/>
      <c r="GBX4739" s="695"/>
      <c r="GBY4739" s="692"/>
      <c r="GBZ4739" s="695"/>
      <c r="GCA4739" s="692"/>
      <c r="GCB4739" s="695"/>
      <c r="GCC4739" s="692"/>
      <c r="GCD4739" s="695"/>
      <c r="GCE4739" s="692"/>
      <c r="GCF4739" s="695"/>
      <c r="GCG4739" s="692"/>
      <c r="GCH4739" s="695"/>
      <c r="GCI4739" s="692"/>
      <c r="GCJ4739" s="695"/>
      <c r="GCK4739" s="692"/>
      <c r="GCL4739" s="695"/>
      <c r="GCM4739" s="692"/>
      <c r="GCN4739" s="695"/>
      <c r="GCO4739" s="692"/>
      <c r="GCP4739" s="695"/>
      <c r="GCQ4739" s="692"/>
      <c r="GCR4739" s="695"/>
      <c r="GCS4739" s="692"/>
      <c r="GCT4739" s="695"/>
      <c r="GCU4739" s="692"/>
      <c r="GCV4739" s="695"/>
      <c r="GCW4739" s="692"/>
      <c r="GCX4739" s="695"/>
      <c r="GCY4739" s="692"/>
      <c r="GCZ4739" s="695"/>
      <c r="GDA4739" s="692"/>
      <c r="GDB4739" s="695"/>
      <c r="GDC4739" s="692"/>
      <c r="GDD4739" s="695"/>
      <c r="GDE4739" s="692"/>
      <c r="GDF4739" s="695"/>
      <c r="GDG4739" s="692"/>
      <c r="GDH4739" s="695"/>
      <c r="GDI4739" s="692"/>
      <c r="GDJ4739" s="695"/>
      <c r="GDK4739" s="692"/>
      <c r="GDL4739" s="695"/>
      <c r="GDM4739" s="692"/>
      <c r="GDN4739" s="695"/>
      <c r="GDO4739" s="692"/>
      <c r="GDP4739" s="695"/>
      <c r="GDQ4739" s="692"/>
      <c r="GDR4739" s="695"/>
      <c r="GDS4739" s="692"/>
      <c r="GDT4739" s="695"/>
      <c r="GDU4739" s="692"/>
      <c r="GDV4739" s="695"/>
      <c r="GDW4739" s="692"/>
      <c r="GDX4739" s="695"/>
      <c r="GDY4739" s="692"/>
      <c r="GDZ4739" s="695"/>
      <c r="GEA4739" s="692"/>
      <c r="GEB4739" s="695"/>
      <c r="GEC4739" s="692"/>
      <c r="GED4739" s="695"/>
      <c r="GEE4739" s="692"/>
      <c r="GEF4739" s="695"/>
      <c r="GEG4739" s="692"/>
      <c r="GEH4739" s="695"/>
      <c r="GEI4739" s="692"/>
      <c r="GEJ4739" s="695"/>
      <c r="GEK4739" s="692"/>
      <c r="GEL4739" s="695"/>
      <c r="GEM4739" s="692"/>
      <c r="GEN4739" s="695"/>
      <c r="GEO4739" s="692"/>
      <c r="GEP4739" s="695"/>
      <c r="GEQ4739" s="692"/>
      <c r="GER4739" s="695"/>
      <c r="GES4739" s="692"/>
      <c r="GET4739" s="695"/>
      <c r="GEU4739" s="692"/>
      <c r="GEV4739" s="695"/>
      <c r="GEW4739" s="692"/>
      <c r="GEX4739" s="695"/>
      <c r="GEY4739" s="692"/>
      <c r="GEZ4739" s="695"/>
      <c r="GFA4739" s="692"/>
      <c r="GFB4739" s="695"/>
      <c r="GFC4739" s="692"/>
      <c r="GFD4739" s="695"/>
      <c r="GFE4739" s="692"/>
      <c r="GFF4739" s="695"/>
      <c r="GFG4739" s="692"/>
      <c r="GFH4739" s="695"/>
      <c r="GFI4739" s="692"/>
      <c r="GFJ4739" s="695"/>
      <c r="GFK4739" s="692"/>
      <c r="GFL4739" s="695"/>
      <c r="GFM4739" s="692"/>
      <c r="GFN4739" s="695"/>
      <c r="GFO4739" s="692"/>
      <c r="GFP4739" s="695"/>
      <c r="GFQ4739" s="692"/>
      <c r="GFR4739" s="695"/>
      <c r="GFS4739" s="692"/>
      <c r="GFT4739" s="695"/>
      <c r="GFU4739" s="692"/>
      <c r="GFV4739" s="695"/>
      <c r="GFW4739" s="692"/>
      <c r="GFX4739" s="695"/>
      <c r="GFY4739" s="692"/>
      <c r="GFZ4739" s="695"/>
      <c r="GGA4739" s="692"/>
      <c r="GGB4739" s="695"/>
      <c r="GGC4739" s="692"/>
      <c r="GGD4739" s="695"/>
      <c r="GGE4739" s="692"/>
      <c r="GGF4739" s="695"/>
      <c r="GGG4739" s="692"/>
      <c r="GGH4739" s="695"/>
      <c r="GGI4739" s="692"/>
      <c r="GGJ4739" s="695"/>
      <c r="GGK4739" s="692"/>
      <c r="GGL4739" s="695"/>
      <c r="GGM4739" s="692"/>
      <c r="GGN4739" s="695"/>
      <c r="GGO4739" s="692"/>
      <c r="GGP4739" s="695"/>
      <c r="GGQ4739" s="692"/>
      <c r="GGR4739" s="695"/>
      <c r="GGS4739" s="692"/>
      <c r="GGT4739" s="695"/>
      <c r="GGU4739" s="692"/>
      <c r="GGV4739" s="695"/>
      <c r="GGW4739" s="692"/>
      <c r="GGX4739" s="695"/>
      <c r="GGY4739" s="692"/>
      <c r="GGZ4739" s="695"/>
      <c r="GHA4739" s="692"/>
      <c r="GHB4739" s="695"/>
      <c r="GHC4739" s="692"/>
      <c r="GHD4739" s="695"/>
      <c r="GHE4739" s="692"/>
      <c r="GHF4739" s="695"/>
      <c r="GHG4739" s="692"/>
      <c r="GHH4739" s="695"/>
      <c r="GHI4739" s="692"/>
      <c r="GHJ4739" s="695"/>
      <c r="GHK4739" s="692"/>
      <c r="GHL4739" s="695"/>
      <c r="GHM4739" s="692"/>
      <c r="GHN4739" s="695"/>
      <c r="GHO4739" s="692"/>
      <c r="GHP4739" s="695"/>
      <c r="GHQ4739" s="692"/>
      <c r="GHR4739" s="695"/>
      <c r="GHS4739" s="692"/>
      <c r="GHT4739" s="695"/>
      <c r="GHU4739" s="692"/>
      <c r="GHV4739" s="695"/>
      <c r="GHW4739" s="692"/>
      <c r="GHX4739" s="695"/>
      <c r="GHY4739" s="692"/>
      <c r="GHZ4739" s="695"/>
      <c r="GIA4739" s="692"/>
      <c r="GIB4739" s="695"/>
      <c r="GIC4739" s="692"/>
      <c r="GID4739" s="695"/>
      <c r="GIE4739" s="692"/>
      <c r="GIF4739" s="695"/>
      <c r="GIG4739" s="692"/>
      <c r="GIH4739" s="695"/>
      <c r="GII4739" s="692"/>
      <c r="GIJ4739" s="695"/>
      <c r="GIK4739" s="692"/>
      <c r="GIL4739" s="695"/>
      <c r="GIM4739" s="692"/>
      <c r="GIN4739" s="695"/>
      <c r="GIO4739" s="692"/>
      <c r="GIP4739" s="695"/>
      <c r="GIQ4739" s="692"/>
      <c r="GIR4739" s="695"/>
      <c r="GIS4739" s="692"/>
      <c r="GIT4739" s="695"/>
      <c r="GIU4739" s="692"/>
      <c r="GIV4739" s="695"/>
      <c r="GIW4739" s="692"/>
      <c r="GIX4739" s="695"/>
      <c r="GIY4739" s="692"/>
      <c r="GIZ4739" s="695"/>
      <c r="GJA4739" s="692"/>
      <c r="GJB4739" s="695"/>
      <c r="GJC4739" s="692"/>
      <c r="GJD4739" s="695"/>
      <c r="GJE4739" s="692"/>
      <c r="GJF4739" s="695"/>
      <c r="GJG4739" s="692"/>
      <c r="GJH4739" s="695"/>
      <c r="GJI4739" s="692"/>
      <c r="GJJ4739" s="695"/>
      <c r="GJK4739" s="692"/>
      <c r="GJL4739" s="695"/>
      <c r="GJM4739" s="692"/>
      <c r="GJN4739" s="695"/>
      <c r="GJO4739" s="692"/>
      <c r="GJP4739" s="695"/>
      <c r="GJQ4739" s="692"/>
      <c r="GJR4739" s="695"/>
      <c r="GJS4739" s="692"/>
      <c r="GJT4739" s="695"/>
      <c r="GJU4739" s="692"/>
      <c r="GJV4739" s="695"/>
      <c r="GJW4739" s="692"/>
      <c r="GJX4739" s="695"/>
      <c r="GJY4739" s="692"/>
      <c r="GJZ4739" s="695"/>
      <c r="GKA4739" s="692"/>
      <c r="GKB4739" s="695"/>
      <c r="GKC4739" s="692"/>
      <c r="GKD4739" s="695"/>
      <c r="GKE4739" s="692"/>
      <c r="GKF4739" s="695"/>
      <c r="GKG4739" s="692"/>
      <c r="GKH4739" s="695"/>
      <c r="GKI4739" s="692"/>
      <c r="GKJ4739" s="695"/>
      <c r="GKK4739" s="692"/>
      <c r="GKL4739" s="695"/>
      <c r="GKM4739" s="692"/>
      <c r="GKN4739" s="695"/>
      <c r="GKO4739" s="692"/>
      <c r="GKP4739" s="695"/>
      <c r="GKQ4739" s="692"/>
      <c r="GKR4739" s="695"/>
      <c r="GKS4739" s="692"/>
      <c r="GKT4739" s="695"/>
      <c r="GKU4739" s="692"/>
      <c r="GKV4739" s="695"/>
      <c r="GKW4739" s="692"/>
      <c r="GKX4739" s="695"/>
      <c r="GKY4739" s="692"/>
      <c r="GKZ4739" s="695"/>
      <c r="GLA4739" s="692"/>
      <c r="GLB4739" s="695"/>
      <c r="GLC4739" s="692"/>
      <c r="GLD4739" s="695"/>
      <c r="GLE4739" s="692"/>
      <c r="GLF4739" s="695"/>
      <c r="GLG4739" s="692"/>
      <c r="GLH4739" s="695"/>
      <c r="GLI4739" s="692"/>
      <c r="GLJ4739" s="695"/>
      <c r="GLK4739" s="692"/>
      <c r="GLL4739" s="695"/>
      <c r="GLM4739" s="692"/>
      <c r="GLN4739" s="695"/>
      <c r="GLO4739" s="692"/>
      <c r="GLP4739" s="695"/>
      <c r="GLQ4739" s="692"/>
      <c r="GLR4739" s="695"/>
      <c r="GLS4739" s="692"/>
      <c r="GLT4739" s="695"/>
      <c r="GLU4739" s="692"/>
      <c r="GLV4739" s="695"/>
      <c r="GLW4739" s="692"/>
      <c r="GLX4739" s="695"/>
      <c r="GLY4739" s="692"/>
      <c r="GLZ4739" s="695"/>
      <c r="GMA4739" s="692"/>
      <c r="GMB4739" s="695"/>
      <c r="GMC4739" s="692"/>
      <c r="GMD4739" s="695"/>
      <c r="GME4739" s="692"/>
      <c r="GMF4739" s="695"/>
      <c r="GMG4739" s="692"/>
      <c r="GMH4739" s="695"/>
      <c r="GMI4739" s="692"/>
      <c r="GMJ4739" s="695"/>
      <c r="GMK4739" s="692"/>
      <c r="GML4739" s="695"/>
      <c r="GMM4739" s="692"/>
      <c r="GMN4739" s="695"/>
      <c r="GMO4739" s="692"/>
      <c r="GMP4739" s="695"/>
      <c r="GMQ4739" s="692"/>
      <c r="GMR4739" s="695"/>
      <c r="GMS4739" s="692"/>
      <c r="GMT4739" s="695"/>
      <c r="GMU4739" s="692"/>
      <c r="GMV4739" s="695"/>
      <c r="GMW4739" s="692"/>
      <c r="GMX4739" s="695"/>
      <c r="GMY4739" s="692"/>
      <c r="GMZ4739" s="695"/>
      <c r="GNA4739" s="692"/>
      <c r="GNB4739" s="695"/>
      <c r="GNC4739" s="692"/>
      <c r="GND4739" s="695"/>
      <c r="GNE4739" s="692"/>
      <c r="GNF4739" s="695"/>
      <c r="GNG4739" s="692"/>
      <c r="GNH4739" s="695"/>
      <c r="GNI4739" s="692"/>
      <c r="GNJ4739" s="695"/>
      <c r="GNK4739" s="692"/>
      <c r="GNL4739" s="695"/>
      <c r="GNM4739" s="692"/>
      <c r="GNN4739" s="695"/>
      <c r="GNO4739" s="692"/>
      <c r="GNP4739" s="695"/>
      <c r="GNQ4739" s="692"/>
      <c r="GNR4739" s="695"/>
      <c r="GNS4739" s="692"/>
      <c r="GNT4739" s="695"/>
      <c r="GNU4739" s="692"/>
      <c r="GNV4739" s="695"/>
      <c r="GNW4739" s="692"/>
      <c r="GNX4739" s="695"/>
      <c r="GNY4739" s="692"/>
      <c r="GNZ4739" s="695"/>
      <c r="GOA4739" s="692"/>
      <c r="GOB4739" s="695"/>
      <c r="GOC4739" s="692"/>
      <c r="GOD4739" s="695"/>
      <c r="GOE4739" s="692"/>
      <c r="GOF4739" s="695"/>
      <c r="GOG4739" s="692"/>
      <c r="GOH4739" s="695"/>
      <c r="GOI4739" s="692"/>
      <c r="GOJ4739" s="695"/>
      <c r="GOK4739" s="692"/>
      <c r="GOL4739" s="695"/>
      <c r="GOM4739" s="692"/>
      <c r="GON4739" s="695"/>
      <c r="GOO4739" s="692"/>
      <c r="GOP4739" s="695"/>
      <c r="GOQ4739" s="692"/>
      <c r="GOR4739" s="695"/>
      <c r="GOS4739" s="692"/>
      <c r="GOT4739" s="695"/>
      <c r="GOU4739" s="692"/>
      <c r="GOV4739" s="695"/>
      <c r="GOW4739" s="692"/>
      <c r="GOX4739" s="695"/>
      <c r="GOY4739" s="692"/>
      <c r="GOZ4739" s="695"/>
      <c r="GPA4739" s="692"/>
      <c r="GPB4739" s="695"/>
      <c r="GPC4739" s="692"/>
      <c r="GPD4739" s="695"/>
      <c r="GPE4739" s="692"/>
      <c r="GPF4739" s="695"/>
      <c r="GPG4739" s="692"/>
      <c r="GPH4739" s="695"/>
      <c r="GPI4739" s="692"/>
      <c r="GPJ4739" s="695"/>
      <c r="GPK4739" s="692"/>
      <c r="GPL4739" s="695"/>
      <c r="GPM4739" s="692"/>
      <c r="GPN4739" s="695"/>
      <c r="GPO4739" s="692"/>
      <c r="GPP4739" s="695"/>
      <c r="GPQ4739" s="692"/>
      <c r="GPR4739" s="695"/>
      <c r="GPS4739" s="692"/>
      <c r="GPT4739" s="695"/>
      <c r="GPU4739" s="692"/>
      <c r="GPV4739" s="695"/>
      <c r="GPW4739" s="692"/>
      <c r="GPX4739" s="695"/>
      <c r="GPY4739" s="692"/>
      <c r="GPZ4739" s="695"/>
      <c r="GQA4739" s="692"/>
      <c r="GQB4739" s="695"/>
      <c r="GQC4739" s="692"/>
      <c r="GQD4739" s="695"/>
      <c r="GQE4739" s="692"/>
      <c r="GQF4739" s="695"/>
      <c r="GQG4739" s="692"/>
      <c r="GQH4739" s="695"/>
      <c r="GQI4739" s="692"/>
      <c r="GQJ4739" s="695"/>
      <c r="GQK4739" s="692"/>
      <c r="GQL4739" s="695"/>
      <c r="GQM4739" s="692"/>
      <c r="GQN4739" s="695"/>
      <c r="GQO4739" s="692"/>
      <c r="GQP4739" s="695"/>
      <c r="GQQ4739" s="692"/>
      <c r="GQR4739" s="695"/>
      <c r="GQS4739" s="692"/>
      <c r="GQT4739" s="695"/>
      <c r="GQU4739" s="692"/>
      <c r="GQV4739" s="695"/>
      <c r="GQW4739" s="692"/>
      <c r="GQX4739" s="695"/>
      <c r="GQY4739" s="692"/>
      <c r="GQZ4739" s="695"/>
      <c r="GRA4739" s="692"/>
      <c r="GRB4739" s="695"/>
      <c r="GRC4739" s="692"/>
      <c r="GRD4739" s="695"/>
      <c r="GRE4739" s="692"/>
      <c r="GRF4739" s="695"/>
      <c r="GRG4739" s="692"/>
      <c r="GRH4739" s="695"/>
      <c r="GRI4739" s="692"/>
      <c r="GRJ4739" s="695"/>
      <c r="GRK4739" s="692"/>
      <c r="GRL4739" s="695"/>
      <c r="GRM4739" s="692"/>
      <c r="GRN4739" s="695"/>
      <c r="GRO4739" s="692"/>
      <c r="GRP4739" s="695"/>
      <c r="GRQ4739" s="692"/>
      <c r="GRR4739" s="695"/>
      <c r="GRS4739" s="692"/>
      <c r="GRT4739" s="695"/>
      <c r="GRU4739" s="692"/>
      <c r="GRV4739" s="695"/>
      <c r="GRW4739" s="692"/>
      <c r="GRX4739" s="695"/>
      <c r="GRY4739" s="692"/>
      <c r="GRZ4739" s="695"/>
      <c r="GSA4739" s="692"/>
      <c r="GSB4739" s="695"/>
      <c r="GSC4739" s="692"/>
      <c r="GSD4739" s="695"/>
      <c r="GSE4739" s="692"/>
      <c r="GSF4739" s="695"/>
      <c r="GSG4739" s="692"/>
      <c r="GSH4739" s="695"/>
      <c r="GSI4739" s="692"/>
      <c r="GSJ4739" s="695"/>
      <c r="GSK4739" s="692"/>
      <c r="GSL4739" s="695"/>
      <c r="GSM4739" s="692"/>
      <c r="GSN4739" s="695"/>
      <c r="GSO4739" s="692"/>
      <c r="GSP4739" s="695"/>
      <c r="GSQ4739" s="692"/>
      <c r="GSR4739" s="695"/>
      <c r="GSS4739" s="692"/>
      <c r="GST4739" s="695"/>
      <c r="GSU4739" s="692"/>
      <c r="GSV4739" s="695"/>
      <c r="GSW4739" s="692"/>
      <c r="GSX4739" s="695"/>
      <c r="GSY4739" s="692"/>
      <c r="GSZ4739" s="695"/>
      <c r="GTA4739" s="692"/>
      <c r="GTB4739" s="695"/>
      <c r="GTC4739" s="692"/>
      <c r="GTD4739" s="695"/>
      <c r="GTE4739" s="692"/>
      <c r="GTF4739" s="695"/>
      <c r="GTG4739" s="692"/>
      <c r="GTH4739" s="695"/>
      <c r="GTI4739" s="692"/>
      <c r="GTJ4739" s="695"/>
      <c r="GTK4739" s="692"/>
      <c r="GTL4739" s="695"/>
      <c r="GTM4739" s="692"/>
      <c r="GTN4739" s="695"/>
      <c r="GTO4739" s="692"/>
      <c r="GTP4739" s="695"/>
      <c r="GTQ4739" s="692"/>
      <c r="GTR4739" s="695"/>
      <c r="GTS4739" s="692"/>
      <c r="GTT4739" s="695"/>
      <c r="GTU4739" s="692"/>
      <c r="GTV4739" s="695"/>
      <c r="GTW4739" s="692"/>
      <c r="GTX4739" s="695"/>
      <c r="GTY4739" s="692"/>
      <c r="GTZ4739" s="695"/>
      <c r="GUA4739" s="692"/>
      <c r="GUB4739" s="695"/>
      <c r="GUC4739" s="692"/>
      <c r="GUD4739" s="695"/>
      <c r="GUE4739" s="692"/>
      <c r="GUF4739" s="695"/>
      <c r="GUG4739" s="692"/>
      <c r="GUH4739" s="695"/>
      <c r="GUI4739" s="692"/>
      <c r="GUJ4739" s="695"/>
      <c r="GUK4739" s="692"/>
      <c r="GUL4739" s="695"/>
      <c r="GUM4739" s="692"/>
      <c r="GUN4739" s="695"/>
      <c r="GUO4739" s="692"/>
      <c r="GUP4739" s="695"/>
      <c r="GUQ4739" s="692"/>
      <c r="GUR4739" s="695"/>
      <c r="GUS4739" s="692"/>
      <c r="GUT4739" s="695"/>
      <c r="GUU4739" s="692"/>
      <c r="GUV4739" s="695"/>
      <c r="GUW4739" s="692"/>
      <c r="GUX4739" s="695"/>
      <c r="GUY4739" s="692"/>
      <c r="GUZ4739" s="695"/>
      <c r="GVA4739" s="692"/>
      <c r="GVB4739" s="695"/>
      <c r="GVC4739" s="692"/>
      <c r="GVD4739" s="695"/>
      <c r="GVE4739" s="692"/>
      <c r="GVF4739" s="695"/>
      <c r="GVG4739" s="692"/>
      <c r="GVH4739" s="695"/>
      <c r="GVI4739" s="692"/>
      <c r="GVJ4739" s="695"/>
      <c r="GVK4739" s="692"/>
      <c r="GVL4739" s="695"/>
      <c r="GVM4739" s="692"/>
      <c r="GVN4739" s="695"/>
      <c r="GVO4739" s="692"/>
      <c r="GVP4739" s="695"/>
      <c r="GVQ4739" s="692"/>
      <c r="GVR4739" s="695"/>
      <c r="GVS4739" s="692"/>
      <c r="GVT4739" s="695"/>
      <c r="GVU4739" s="692"/>
      <c r="GVV4739" s="695"/>
      <c r="GVW4739" s="692"/>
      <c r="GVX4739" s="695"/>
      <c r="GVY4739" s="692"/>
      <c r="GVZ4739" s="695"/>
      <c r="GWA4739" s="692"/>
      <c r="GWB4739" s="695"/>
      <c r="GWC4739" s="692"/>
      <c r="GWD4739" s="695"/>
      <c r="GWE4739" s="692"/>
      <c r="GWF4739" s="695"/>
      <c r="GWG4739" s="692"/>
      <c r="GWH4739" s="695"/>
      <c r="GWI4739" s="692"/>
      <c r="GWJ4739" s="695"/>
      <c r="GWK4739" s="692"/>
      <c r="GWL4739" s="695"/>
      <c r="GWM4739" s="692"/>
      <c r="GWN4739" s="695"/>
      <c r="GWO4739" s="692"/>
      <c r="GWP4739" s="695"/>
      <c r="GWQ4739" s="692"/>
      <c r="GWR4739" s="695"/>
      <c r="GWS4739" s="692"/>
      <c r="GWT4739" s="695"/>
      <c r="GWU4739" s="692"/>
      <c r="GWV4739" s="695"/>
      <c r="GWW4739" s="692"/>
      <c r="GWX4739" s="695"/>
      <c r="GWY4739" s="692"/>
      <c r="GWZ4739" s="695"/>
      <c r="GXA4739" s="692"/>
      <c r="GXB4739" s="695"/>
      <c r="GXC4739" s="692"/>
      <c r="GXD4739" s="695"/>
      <c r="GXE4739" s="692"/>
      <c r="GXF4739" s="695"/>
      <c r="GXG4739" s="692"/>
      <c r="GXH4739" s="695"/>
      <c r="GXI4739" s="692"/>
      <c r="GXJ4739" s="695"/>
      <c r="GXK4739" s="692"/>
      <c r="GXL4739" s="695"/>
      <c r="GXM4739" s="692"/>
      <c r="GXN4739" s="695"/>
      <c r="GXO4739" s="692"/>
      <c r="GXP4739" s="695"/>
      <c r="GXQ4739" s="692"/>
      <c r="GXR4739" s="695"/>
      <c r="GXS4739" s="692"/>
      <c r="GXT4739" s="695"/>
      <c r="GXU4739" s="692"/>
      <c r="GXV4739" s="695"/>
      <c r="GXW4739" s="692"/>
      <c r="GXX4739" s="695"/>
      <c r="GXY4739" s="692"/>
      <c r="GXZ4739" s="695"/>
      <c r="GYA4739" s="692"/>
      <c r="GYB4739" s="695"/>
      <c r="GYC4739" s="692"/>
      <c r="GYD4739" s="695"/>
      <c r="GYE4739" s="692"/>
      <c r="GYF4739" s="695"/>
      <c r="GYG4739" s="692"/>
      <c r="GYH4739" s="695"/>
      <c r="GYI4739" s="692"/>
      <c r="GYJ4739" s="695"/>
      <c r="GYK4739" s="692"/>
      <c r="GYL4739" s="695"/>
      <c r="GYM4739" s="692"/>
      <c r="GYN4739" s="695"/>
      <c r="GYO4739" s="692"/>
      <c r="GYP4739" s="695"/>
      <c r="GYQ4739" s="692"/>
      <c r="GYR4739" s="695"/>
      <c r="GYS4739" s="692"/>
      <c r="GYT4739" s="695"/>
      <c r="GYU4739" s="692"/>
      <c r="GYV4739" s="695"/>
      <c r="GYW4739" s="692"/>
      <c r="GYX4739" s="695"/>
      <c r="GYY4739" s="692"/>
      <c r="GYZ4739" s="695"/>
      <c r="GZA4739" s="692"/>
      <c r="GZB4739" s="695"/>
      <c r="GZC4739" s="692"/>
      <c r="GZD4739" s="695"/>
      <c r="GZE4739" s="692"/>
      <c r="GZF4739" s="695"/>
      <c r="GZG4739" s="692"/>
      <c r="GZH4739" s="695"/>
      <c r="GZI4739" s="692"/>
      <c r="GZJ4739" s="695"/>
      <c r="GZK4739" s="692"/>
      <c r="GZL4739" s="695"/>
      <c r="GZM4739" s="692"/>
      <c r="GZN4739" s="695"/>
      <c r="GZO4739" s="692"/>
      <c r="GZP4739" s="695"/>
      <c r="GZQ4739" s="692"/>
      <c r="GZR4739" s="695"/>
      <c r="GZS4739" s="692"/>
      <c r="GZT4739" s="695"/>
      <c r="GZU4739" s="692"/>
      <c r="GZV4739" s="695"/>
      <c r="GZW4739" s="692"/>
      <c r="GZX4739" s="695"/>
      <c r="GZY4739" s="692"/>
      <c r="GZZ4739" s="695"/>
      <c r="HAA4739" s="692"/>
      <c r="HAB4739" s="695"/>
      <c r="HAC4739" s="692"/>
      <c r="HAD4739" s="695"/>
      <c r="HAE4739" s="692"/>
      <c r="HAF4739" s="695"/>
      <c r="HAG4739" s="692"/>
      <c r="HAH4739" s="695"/>
      <c r="HAI4739" s="692"/>
      <c r="HAJ4739" s="695"/>
      <c r="HAK4739" s="692"/>
      <c r="HAL4739" s="695"/>
      <c r="HAM4739" s="692"/>
      <c r="HAN4739" s="695"/>
      <c r="HAO4739" s="692"/>
      <c r="HAP4739" s="695"/>
      <c r="HAQ4739" s="692"/>
      <c r="HAR4739" s="695"/>
      <c r="HAS4739" s="692"/>
      <c r="HAT4739" s="695"/>
      <c r="HAU4739" s="692"/>
      <c r="HAV4739" s="695"/>
      <c r="HAW4739" s="692"/>
      <c r="HAX4739" s="695"/>
      <c r="HAY4739" s="692"/>
      <c r="HAZ4739" s="695"/>
      <c r="HBA4739" s="692"/>
      <c r="HBB4739" s="695"/>
      <c r="HBC4739" s="692"/>
      <c r="HBD4739" s="695"/>
      <c r="HBE4739" s="692"/>
      <c r="HBF4739" s="695"/>
      <c r="HBG4739" s="692"/>
      <c r="HBH4739" s="695"/>
      <c r="HBI4739" s="692"/>
      <c r="HBJ4739" s="695"/>
      <c r="HBK4739" s="692"/>
      <c r="HBL4739" s="695"/>
      <c r="HBM4739" s="692"/>
      <c r="HBN4739" s="695"/>
      <c r="HBO4739" s="692"/>
      <c r="HBP4739" s="695"/>
      <c r="HBQ4739" s="692"/>
      <c r="HBR4739" s="695"/>
      <c r="HBS4739" s="692"/>
      <c r="HBT4739" s="695"/>
      <c r="HBU4739" s="692"/>
      <c r="HBV4739" s="695"/>
      <c r="HBW4739" s="692"/>
      <c r="HBX4739" s="695"/>
      <c r="HBY4739" s="692"/>
      <c r="HBZ4739" s="695"/>
      <c r="HCA4739" s="692"/>
      <c r="HCB4739" s="695"/>
      <c r="HCC4739" s="692"/>
      <c r="HCD4739" s="695"/>
      <c r="HCE4739" s="692"/>
      <c r="HCF4739" s="695"/>
      <c r="HCG4739" s="692"/>
      <c r="HCH4739" s="695"/>
      <c r="HCI4739" s="692"/>
      <c r="HCJ4739" s="695"/>
      <c r="HCK4739" s="692"/>
      <c r="HCL4739" s="695"/>
      <c r="HCM4739" s="692"/>
      <c r="HCN4739" s="695"/>
      <c r="HCO4739" s="692"/>
      <c r="HCP4739" s="695"/>
      <c r="HCQ4739" s="692"/>
      <c r="HCR4739" s="695"/>
      <c r="HCS4739" s="692"/>
      <c r="HCT4739" s="695"/>
      <c r="HCU4739" s="692"/>
      <c r="HCV4739" s="695"/>
      <c r="HCW4739" s="692"/>
      <c r="HCX4739" s="695"/>
      <c r="HCY4739" s="692"/>
      <c r="HCZ4739" s="695"/>
      <c r="HDA4739" s="692"/>
      <c r="HDB4739" s="695"/>
      <c r="HDC4739" s="692"/>
      <c r="HDD4739" s="695"/>
      <c r="HDE4739" s="692"/>
      <c r="HDF4739" s="695"/>
      <c r="HDG4739" s="692"/>
      <c r="HDH4739" s="695"/>
      <c r="HDI4739" s="692"/>
      <c r="HDJ4739" s="695"/>
      <c r="HDK4739" s="692"/>
      <c r="HDL4739" s="695"/>
      <c r="HDM4739" s="692"/>
      <c r="HDN4739" s="695"/>
      <c r="HDO4739" s="692"/>
      <c r="HDP4739" s="695"/>
      <c r="HDQ4739" s="692"/>
      <c r="HDR4739" s="695"/>
      <c r="HDS4739" s="692"/>
      <c r="HDT4739" s="695"/>
      <c r="HDU4739" s="692"/>
      <c r="HDV4739" s="695"/>
      <c r="HDW4739" s="692"/>
      <c r="HDX4739" s="695"/>
      <c r="HDY4739" s="692"/>
      <c r="HDZ4739" s="695"/>
      <c r="HEA4739" s="692"/>
      <c r="HEB4739" s="695"/>
      <c r="HEC4739" s="692"/>
      <c r="HED4739" s="695"/>
      <c r="HEE4739" s="692"/>
      <c r="HEF4739" s="695"/>
      <c r="HEG4739" s="692"/>
      <c r="HEH4739" s="695"/>
      <c r="HEI4739" s="692"/>
      <c r="HEJ4739" s="695"/>
      <c r="HEK4739" s="692"/>
      <c r="HEL4739" s="695"/>
      <c r="HEM4739" s="692"/>
      <c r="HEN4739" s="695"/>
      <c r="HEO4739" s="692"/>
      <c r="HEP4739" s="695"/>
      <c r="HEQ4739" s="692"/>
      <c r="HER4739" s="695"/>
      <c r="HES4739" s="692"/>
      <c r="HET4739" s="695"/>
      <c r="HEU4739" s="692"/>
      <c r="HEV4739" s="695"/>
      <c r="HEW4739" s="692"/>
      <c r="HEX4739" s="695"/>
      <c r="HEY4739" s="692"/>
      <c r="HEZ4739" s="695"/>
      <c r="HFA4739" s="692"/>
      <c r="HFB4739" s="695"/>
      <c r="HFC4739" s="692"/>
      <c r="HFD4739" s="695"/>
      <c r="HFE4739" s="692"/>
      <c r="HFF4739" s="695"/>
      <c r="HFG4739" s="692"/>
      <c r="HFH4739" s="695"/>
      <c r="HFI4739" s="692"/>
      <c r="HFJ4739" s="695"/>
      <c r="HFK4739" s="692"/>
      <c r="HFL4739" s="695"/>
      <c r="HFM4739" s="692"/>
      <c r="HFN4739" s="695"/>
      <c r="HFO4739" s="692"/>
      <c r="HFP4739" s="695"/>
      <c r="HFQ4739" s="692"/>
      <c r="HFR4739" s="695"/>
      <c r="HFS4739" s="692"/>
      <c r="HFT4739" s="695"/>
      <c r="HFU4739" s="692"/>
      <c r="HFV4739" s="695"/>
      <c r="HFW4739" s="692"/>
      <c r="HFX4739" s="695"/>
      <c r="HFY4739" s="692"/>
      <c r="HFZ4739" s="695"/>
      <c r="HGA4739" s="692"/>
      <c r="HGB4739" s="695"/>
      <c r="HGC4739" s="692"/>
      <c r="HGD4739" s="695"/>
      <c r="HGE4739" s="692"/>
      <c r="HGF4739" s="695"/>
      <c r="HGG4739" s="692"/>
      <c r="HGH4739" s="695"/>
      <c r="HGI4739" s="692"/>
      <c r="HGJ4739" s="695"/>
      <c r="HGK4739" s="692"/>
      <c r="HGL4739" s="695"/>
      <c r="HGM4739" s="692"/>
      <c r="HGN4739" s="695"/>
      <c r="HGO4739" s="692"/>
      <c r="HGP4739" s="695"/>
      <c r="HGQ4739" s="692"/>
      <c r="HGR4739" s="695"/>
      <c r="HGS4739" s="692"/>
      <c r="HGT4739" s="695"/>
      <c r="HGU4739" s="692"/>
      <c r="HGV4739" s="695"/>
      <c r="HGW4739" s="692"/>
      <c r="HGX4739" s="695"/>
      <c r="HGY4739" s="692"/>
      <c r="HGZ4739" s="695"/>
      <c r="HHA4739" s="692"/>
      <c r="HHB4739" s="695"/>
      <c r="HHC4739" s="692"/>
      <c r="HHD4739" s="695"/>
      <c r="HHE4739" s="692"/>
      <c r="HHF4739" s="695"/>
      <c r="HHG4739" s="692"/>
      <c r="HHH4739" s="695"/>
      <c r="HHI4739" s="692"/>
      <c r="HHJ4739" s="695"/>
      <c r="HHK4739" s="692"/>
      <c r="HHL4739" s="695"/>
      <c r="HHM4739" s="692"/>
      <c r="HHN4739" s="695"/>
      <c r="HHO4739" s="692"/>
      <c r="HHP4739" s="695"/>
      <c r="HHQ4739" s="692"/>
      <c r="HHR4739" s="695"/>
      <c r="HHS4739" s="692"/>
      <c r="HHT4739" s="695"/>
      <c r="HHU4739" s="692"/>
      <c r="HHV4739" s="695"/>
      <c r="HHW4739" s="692"/>
      <c r="HHX4739" s="695"/>
      <c r="HHY4739" s="692"/>
      <c r="HHZ4739" s="695"/>
      <c r="HIA4739" s="692"/>
      <c r="HIB4739" s="695"/>
      <c r="HIC4739" s="692"/>
      <c r="HID4739" s="695"/>
      <c r="HIE4739" s="692"/>
      <c r="HIF4739" s="695"/>
      <c r="HIG4739" s="692"/>
      <c r="HIH4739" s="695"/>
      <c r="HII4739" s="692"/>
      <c r="HIJ4739" s="695"/>
      <c r="HIK4739" s="692"/>
      <c r="HIL4739" s="695"/>
      <c r="HIM4739" s="692"/>
      <c r="HIN4739" s="695"/>
      <c r="HIO4739" s="692"/>
      <c r="HIP4739" s="695"/>
      <c r="HIQ4739" s="692"/>
      <c r="HIR4739" s="695"/>
      <c r="HIS4739" s="692"/>
      <c r="HIT4739" s="695"/>
      <c r="HIU4739" s="692"/>
      <c r="HIV4739" s="695"/>
      <c r="HIW4739" s="692"/>
      <c r="HIX4739" s="695"/>
      <c r="HIY4739" s="692"/>
      <c r="HIZ4739" s="695"/>
      <c r="HJA4739" s="692"/>
      <c r="HJB4739" s="695"/>
      <c r="HJC4739" s="692"/>
      <c r="HJD4739" s="695"/>
      <c r="HJE4739" s="692"/>
      <c r="HJF4739" s="695"/>
      <c r="HJG4739" s="692"/>
      <c r="HJH4739" s="695"/>
      <c r="HJI4739" s="692"/>
      <c r="HJJ4739" s="695"/>
      <c r="HJK4739" s="692"/>
      <c r="HJL4739" s="695"/>
      <c r="HJM4739" s="692"/>
      <c r="HJN4739" s="695"/>
      <c r="HJO4739" s="692"/>
      <c r="HJP4739" s="695"/>
      <c r="HJQ4739" s="692"/>
      <c r="HJR4739" s="695"/>
      <c r="HJS4739" s="692"/>
      <c r="HJT4739" s="695"/>
      <c r="HJU4739" s="692"/>
      <c r="HJV4739" s="695"/>
      <c r="HJW4739" s="692"/>
      <c r="HJX4739" s="695"/>
      <c r="HJY4739" s="692"/>
      <c r="HJZ4739" s="695"/>
      <c r="HKA4739" s="692"/>
      <c r="HKB4739" s="695"/>
      <c r="HKC4739" s="692"/>
      <c r="HKD4739" s="695"/>
      <c r="HKE4739" s="692"/>
      <c r="HKF4739" s="695"/>
      <c r="HKG4739" s="692"/>
      <c r="HKH4739" s="695"/>
      <c r="HKI4739" s="692"/>
      <c r="HKJ4739" s="695"/>
      <c r="HKK4739" s="692"/>
      <c r="HKL4739" s="695"/>
      <c r="HKM4739" s="692"/>
      <c r="HKN4739" s="695"/>
      <c r="HKO4739" s="692"/>
      <c r="HKP4739" s="695"/>
      <c r="HKQ4739" s="692"/>
      <c r="HKR4739" s="695"/>
      <c r="HKS4739" s="692"/>
      <c r="HKT4739" s="695"/>
      <c r="HKU4739" s="692"/>
      <c r="HKV4739" s="695"/>
      <c r="HKW4739" s="692"/>
      <c r="HKX4739" s="695"/>
      <c r="HKY4739" s="692"/>
      <c r="HKZ4739" s="695"/>
      <c r="HLA4739" s="692"/>
      <c r="HLB4739" s="695"/>
      <c r="HLC4739" s="692"/>
      <c r="HLD4739" s="695"/>
      <c r="HLE4739" s="692"/>
      <c r="HLF4739" s="695"/>
      <c r="HLG4739" s="692"/>
      <c r="HLH4739" s="695"/>
      <c r="HLI4739" s="692"/>
      <c r="HLJ4739" s="695"/>
      <c r="HLK4739" s="692"/>
      <c r="HLL4739" s="695"/>
      <c r="HLM4739" s="692"/>
      <c r="HLN4739" s="695"/>
      <c r="HLO4739" s="692"/>
      <c r="HLP4739" s="695"/>
      <c r="HLQ4739" s="692"/>
      <c r="HLR4739" s="695"/>
      <c r="HLS4739" s="692"/>
      <c r="HLT4739" s="695"/>
      <c r="HLU4739" s="692"/>
      <c r="HLV4739" s="695"/>
      <c r="HLW4739" s="692"/>
      <c r="HLX4739" s="695"/>
      <c r="HLY4739" s="692"/>
      <c r="HLZ4739" s="695"/>
      <c r="HMA4739" s="692"/>
      <c r="HMB4739" s="695"/>
      <c r="HMC4739" s="692"/>
      <c r="HMD4739" s="695"/>
      <c r="HME4739" s="692"/>
      <c r="HMF4739" s="695"/>
      <c r="HMG4739" s="692"/>
      <c r="HMH4739" s="695"/>
      <c r="HMI4739" s="692"/>
      <c r="HMJ4739" s="695"/>
      <c r="HMK4739" s="692"/>
      <c r="HML4739" s="695"/>
      <c r="HMM4739" s="692"/>
      <c r="HMN4739" s="695"/>
      <c r="HMO4739" s="692"/>
      <c r="HMP4739" s="695"/>
      <c r="HMQ4739" s="692"/>
      <c r="HMR4739" s="695"/>
      <c r="HMS4739" s="692"/>
      <c r="HMT4739" s="695"/>
      <c r="HMU4739" s="692"/>
      <c r="HMV4739" s="695"/>
      <c r="HMW4739" s="692"/>
      <c r="HMX4739" s="695"/>
      <c r="HMY4739" s="692"/>
      <c r="HMZ4739" s="695"/>
      <c r="HNA4739" s="692"/>
      <c r="HNB4739" s="695"/>
      <c r="HNC4739" s="692"/>
      <c r="HND4739" s="695"/>
      <c r="HNE4739" s="692"/>
      <c r="HNF4739" s="695"/>
      <c r="HNG4739" s="692"/>
      <c r="HNH4739" s="695"/>
      <c r="HNI4739" s="692"/>
      <c r="HNJ4739" s="695"/>
      <c r="HNK4739" s="692"/>
      <c r="HNL4739" s="695"/>
      <c r="HNM4739" s="692"/>
      <c r="HNN4739" s="695"/>
      <c r="HNO4739" s="692"/>
      <c r="HNP4739" s="695"/>
      <c r="HNQ4739" s="692"/>
      <c r="HNR4739" s="695"/>
      <c r="HNS4739" s="692"/>
      <c r="HNT4739" s="695"/>
      <c r="HNU4739" s="692"/>
      <c r="HNV4739" s="695"/>
      <c r="HNW4739" s="692"/>
      <c r="HNX4739" s="695"/>
      <c r="HNY4739" s="692"/>
      <c r="HNZ4739" s="695"/>
      <c r="HOA4739" s="692"/>
      <c r="HOB4739" s="695"/>
      <c r="HOC4739" s="692"/>
      <c r="HOD4739" s="695"/>
      <c r="HOE4739" s="692"/>
      <c r="HOF4739" s="695"/>
      <c r="HOG4739" s="692"/>
      <c r="HOH4739" s="695"/>
      <c r="HOI4739" s="692"/>
      <c r="HOJ4739" s="695"/>
      <c r="HOK4739" s="692"/>
      <c r="HOL4739" s="695"/>
      <c r="HOM4739" s="692"/>
      <c r="HON4739" s="695"/>
      <c r="HOO4739" s="692"/>
      <c r="HOP4739" s="695"/>
      <c r="HOQ4739" s="692"/>
      <c r="HOR4739" s="695"/>
      <c r="HOS4739" s="692"/>
      <c r="HOT4739" s="695"/>
      <c r="HOU4739" s="692"/>
      <c r="HOV4739" s="695"/>
      <c r="HOW4739" s="692"/>
      <c r="HOX4739" s="695"/>
      <c r="HOY4739" s="692"/>
      <c r="HOZ4739" s="695"/>
      <c r="HPA4739" s="692"/>
      <c r="HPB4739" s="695"/>
      <c r="HPC4739" s="692"/>
      <c r="HPD4739" s="695"/>
      <c r="HPE4739" s="692"/>
      <c r="HPF4739" s="695"/>
      <c r="HPG4739" s="692"/>
      <c r="HPH4739" s="695"/>
      <c r="HPI4739" s="692"/>
      <c r="HPJ4739" s="695"/>
      <c r="HPK4739" s="692"/>
      <c r="HPL4739" s="695"/>
      <c r="HPM4739" s="692"/>
      <c r="HPN4739" s="695"/>
      <c r="HPO4739" s="692"/>
      <c r="HPP4739" s="695"/>
      <c r="HPQ4739" s="692"/>
      <c r="HPR4739" s="695"/>
      <c r="HPS4739" s="692"/>
      <c r="HPT4739" s="695"/>
      <c r="HPU4739" s="692"/>
      <c r="HPV4739" s="695"/>
      <c r="HPW4739" s="692"/>
      <c r="HPX4739" s="695"/>
      <c r="HPY4739" s="692"/>
      <c r="HPZ4739" s="695"/>
      <c r="HQA4739" s="692"/>
      <c r="HQB4739" s="695"/>
      <c r="HQC4739" s="692"/>
      <c r="HQD4739" s="695"/>
      <c r="HQE4739" s="692"/>
      <c r="HQF4739" s="695"/>
      <c r="HQG4739" s="692"/>
      <c r="HQH4739" s="695"/>
      <c r="HQI4739" s="692"/>
      <c r="HQJ4739" s="695"/>
      <c r="HQK4739" s="692"/>
      <c r="HQL4739" s="695"/>
      <c r="HQM4739" s="692"/>
      <c r="HQN4739" s="695"/>
      <c r="HQO4739" s="692"/>
      <c r="HQP4739" s="695"/>
      <c r="HQQ4739" s="692"/>
      <c r="HQR4739" s="695"/>
      <c r="HQS4739" s="692"/>
      <c r="HQT4739" s="695"/>
      <c r="HQU4739" s="692"/>
      <c r="HQV4739" s="695"/>
      <c r="HQW4739" s="692"/>
      <c r="HQX4739" s="695"/>
      <c r="HQY4739" s="692"/>
      <c r="HQZ4739" s="695"/>
      <c r="HRA4739" s="692"/>
      <c r="HRB4739" s="695"/>
      <c r="HRC4739" s="692"/>
      <c r="HRD4739" s="695"/>
      <c r="HRE4739" s="692"/>
      <c r="HRF4739" s="695"/>
      <c r="HRG4739" s="692"/>
      <c r="HRH4739" s="695"/>
      <c r="HRI4739" s="692"/>
      <c r="HRJ4739" s="695"/>
      <c r="HRK4739" s="692"/>
      <c r="HRL4739" s="695"/>
      <c r="HRM4739" s="692"/>
      <c r="HRN4739" s="695"/>
      <c r="HRO4739" s="692"/>
      <c r="HRP4739" s="695"/>
      <c r="HRQ4739" s="692"/>
      <c r="HRR4739" s="695"/>
      <c r="HRS4739" s="692"/>
      <c r="HRT4739" s="695"/>
      <c r="HRU4739" s="692"/>
      <c r="HRV4739" s="695"/>
      <c r="HRW4739" s="692"/>
      <c r="HRX4739" s="695"/>
      <c r="HRY4739" s="692"/>
      <c r="HRZ4739" s="695"/>
      <c r="HSA4739" s="692"/>
      <c r="HSB4739" s="695"/>
      <c r="HSC4739" s="692"/>
      <c r="HSD4739" s="695"/>
      <c r="HSE4739" s="692"/>
      <c r="HSF4739" s="695"/>
      <c r="HSG4739" s="692"/>
      <c r="HSH4739" s="695"/>
      <c r="HSI4739" s="692"/>
      <c r="HSJ4739" s="695"/>
      <c r="HSK4739" s="692"/>
      <c r="HSL4739" s="695"/>
      <c r="HSM4739" s="692"/>
      <c r="HSN4739" s="695"/>
      <c r="HSO4739" s="692"/>
      <c r="HSP4739" s="695"/>
      <c r="HSQ4739" s="692"/>
      <c r="HSR4739" s="695"/>
      <c r="HSS4739" s="692"/>
      <c r="HST4739" s="695"/>
      <c r="HSU4739" s="692"/>
      <c r="HSV4739" s="695"/>
      <c r="HSW4739" s="692"/>
      <c r="HSX4739" s="695"/>
      <c r="HSY4739" s="692"/>
      <c r="HSZ4739" s="695"/>
      <c r="HTA4739" s="692"/>
      <c r="HTB4739" s="695"/>
      <c r="HTC4739" s="692"/>
      <c r="HTD4739" s="695"/>
      <c r="HTE4739" s="692"/>
      <c r="HTF4739" s="695"/>
      <c r="HTG4739" s="692"/>
      <c r="HTH4739" s="695"/>
      <c r="HTI4739" s="692"/>
      <c r="HTJ4739" s="695"/>
      <c r="HTK4739" s="692"/>
      <c r="HTL4739" s="695"/>
      <c r="HTM4739" s="692"/>
      <c r="HTN4739" s="695"/>
      <c r="HTO4739" s="692"/>
      <c r="HTP4739" s="695"/>
      <c r="HTQ4739" s="692"/>
      <c r="HTR4739" s="695"/>
      <c r="HTS4739" s="692"/>
      <c r="HTT4739" s="695"/>
      <c r="HTU4739" s="692"/>
      <c r="HTV4739" s="695"/>
      <c r="HTW4739" s="692"/>
      <c r="HTX4739" s="695"/>
      <c r="HTY4739" s="692"/>
      <c r="HTZ4739" s="695"/>
      <c r="HUA4739" s="692"/>
      <c r="HUB4739" s="695"/>
      <c r="HUC4739" s="692"/>
      <c r="HUD4739" s="695"/>
      <c r="HUE4739" s="692"/>
      <c r="HUF4739" s="695"/>
      <c r="HUG4739" s="692"/>
      <c r="HUH4739" s="695"/>
      <c r="HUI4739" s="692"/>
      <c r="HUJ4739" s="695"/>
      <c r="HUK4739" s="692"/>
      <c r="HUL4739" s="695"/>
      <c r="HUM4739" s="692"/>
      <c r="HUN4739" s="695"/>
      <c r="HUO4739" s="692"/>
      <c r="HUP4739" s="695"/>
      <c r="HUQ4739" s="692"/>
      <c r="HUR4739" s="695"/>
      <c r="HUS4739" s="692"/>
      <c r="HUT4739" s="695"/>
      <c r="HUU4739" s="692"/>
      <c r="HUV4739" s="695"/>
      <c r="HUW4739" s="692"/>
      <c r="HUX4739" s="695"/>
      <c r="HUY4739" s="692"/>
      <c r="HUZ4739" s="695"/>
      <c r="HVA4739" s="692"/>
      <c r="HVB4739" s="695"/>
      <c r="HVC4739" s="692"/>
      <c r="HVD4739" s="695"/>
      <c r="HVE4739" s="692"/>
      <c r="HVF4739" s="695"/>
      <c r="HVG4739" s="692"/>
      <c r="HVH4739" s="695"/>
      <c r="HVI4739" s="692"/>
      <c r="HVJ4739" s="695"/>
      <c r="HVK4739" s="692"/>
      <c r="HVL4739" s="695"/>
      <c r="HVM4739" s="692"/>
      <c r="HVN4739" s="695"/>
      <c r="HVO4739" s="692"/>
      <c r="HVP4739" s="695"/>
      <c r="HVQ4739" s="692"/>
      <c r="HVR4739" s="695"/>
      <c r="HVS4739" s="692"/>
      <c r="HVT4739" s="695"/>
      <c r="HVU4739" s="692"/>
      <c r="HVV4739" s="695"/>
      <c r="HVW4739" s="692"/>
      <c r="HVX4739" s="695"/>
      <c r="HVY4739" s="692"/>
      <c r="HVZ4739" s="695"/>
      <c r="HWA4739" s="692"/>
      <c r="HWB4739" s="695"/>
      <c r="HWC4739" s="692"/>
      <c r="HWD4739" s="695"/>
      <c r="HWE4739" s="692"/>
      <c r="HWF4739" s="695"/>
      <c r="HWG4739" s="692"/>
      <c r="HWH4739" s="695"/>
      <c r="HWI4739" s="692"/>
      <c r="HWJ4739" s="695"/>
      <c r="HWK4739" s="692"/>
      <c r="HWL4739" s="695"/>
      <c r="HWM4739" s="692"/>
      <c r="HWN4739" s="695"/>
      <c r="HWO4739" s="692"/>
      <c r="HWP4739" s="695"/>
      <c r="HWQ4739" s="692"/>
      <c r="HWR4739" s="695"/>
      <c r="HWS4739" s="692"/>
      <c r="HWT4739" s="695"/>
      <c r="HWU4739" s="692"/>
      <c r="HWV4739" s="695"/>
      <c r="HWW4739" s="692"/>
      <c r="HWX4739" s="695"/>
      <c r="HWY4739" s="692"/>
      <c r="HWZ4739" s="695"/>
      <c r="HXA4739" s="692"/>
      <c r="HXB4739" s="695"/>
      <c r="HXC4739" s="692"/>
      <c r="HXD4739" s="695"/>
      <c r="HXE4739" s="692"/>
      <c r="HXF4739" s="695"/>
      <c r="HXG4739" s="692"/>
      <c r="HXH4739" s="695"/>
      <c r="HXI4739" s="692"/>
      <c r="HXJ4739" s="695"/>
      <c r="HXK4739" s="692"/>
      <c r="HXL4739" s="695"/>
      <c r="HXM4739" s="692"/>
      <c r="HXN4739" s="695"/>
      <c r="HXO4739" s="692"/>
      <c r="HXP4739" s="695"/>
      <c r="HXQ4739" s="692"/>
      <c r="HXR4739" s="695"/>
      <c r="HXS4739" s="692"/>
      <c r="HXT4739" s="695"/>
      <c r="HXU4739" s="692"/>
      <c r="HXV4739" s="695"/>
      <c r="HXW4739" s="692"/>
      <c r="HXX4739" s="695"/>
      <c r="HXY4739" s="692"/>
      <c r="HXZ4739" s="695"/>
      <c r="HYA4739" s="692"/>
      <c r="HYB4739" s="695"/>
      <c r="HYC4739" s="692"/>
      <c r="HYD4739" s="695"/>
      <c r="HYE4739" s="692"/>
      <c r="HYF4739" s="695"/>
      <c r="HYG4739" s="692"/>
      <c r="HYH4739" s="695"/>
      <c r="HYI4739" s="692"/>
      <c r="HYJ4739" s="695"/>
      <c r="HYK4739" s="692"/>
      <c r="HYL4739" s="695"/>
      <c r="HYM4739" s="692"/>
      <c r="HYN4739" s="695"/>
      <c r="HYO4739" s="692"/>
      <c r="HYP4739" s="695"/>
      <c r="HYQ4739" s="692"/>
      <c r="HYR4739" s="695"/>
      <c r="HYS4739" s="692"/>
      <c r="HYT4739" s="695"/>
      <c r="HYU4739" s="692"/>
      <c r="HYV4739" s="695"/>
      <c r="HYW4739" s="692"/>
      <c r="HYX4739" s="695"/>
      <c r="HYY4739" s="692"/>
      <c r="HYZ4739" s="695"/>
      <c r="HZA4739" s="692"/>
      <c r="HZB4739" s="695"/>
      <c r="HZC4739" s="692"/>
      <c r="HZD4739" s="695"/>
      <c r="HZE4739" s="692"/>
      <c r="HZF4739" s="695"/>
      <c r="HZG4739" s="692"/>
      <c r="HZH4739" s="695"/>
      <c r="HZI4739" s="692"/>
      <c r="HZJ4739" s="695"/>
      <c r="HZK4739" s="692"/>
      <c r="HZL4739" s="695"/>
      <c r="HZM4739" s="692"/>
      <c r="HZN4739" s="695"/>
      <c r="HZO4739" s="692"/>
      <c r="HZP4739" s="695"/>
      <c r="HZQ4739" s="692"/>
      <c r="HZR4739" s="695"/>
      <c r="HZS4739" s="692"/>
      <c r="HZT4739" s="695"/>
      <c r="HZU4739" s="692"/>
      <c r="HZV4739" s="695"/>
      <c r="HZW4739" s="692"/>
      <c r="HZX4739" s="695"/>
      <c r="HZY4739" s="692"/>
      <c r="HZZ4739" s="695"/>
      <c r="IAA4739" s="692"/>
      <c r="IAB4739" s="695"/>
      <c r="IAC4739" s="692"/>
      <c r="IAD4739" s="695"/>
      <c r="IAE4739" s="692"/>
      <c r="IAF4739" s="695"/>
      <c r="IAG4739" s="692"/>
      <c r="IAH4739" s="695"/>
      <c r="IAI4739" s="692"/>
      <c r="IAJ4739" s="695"/>
      <c r="IAK4739" s="692"/>
      <c r="IAL4739" s="695"/>
      <c r="IAM4739" s="692"/>
      <c r="IAN4739" s="695"/>
      <c r="IAO4739" s="692"/>
      <c r="IAP4739" s="695"/>
      <c r="IAQ4739" s="692"/>
      <c r="IAR4739" s="695"/>
      <c r="IAS4739" s="692"/>
      <c r="IAT4739" s="695"/>
      <c r="IAU4739" s="692"/>
      <c r="IAV4739" s="695"/>
      <c r="IAW4739" s="692"/>
      <c r="IAX4739" s="695"/>
      <c r="IAY4739" s="692"/>
      <c r="IAZ4739" s="695"/>
      <c r="IBA4739" s="692"/>
      <c r="IBB4739" s="695"/>
      <c r="IBC4739" s="692"/>
      <c r="IBD4739" s="695"/>
      <c r="IBE4739" s="692"/>
      <c r="IBF4739" s="695"/>
      <c r="IBG4739" s="692"/>
      <c r="IBH4739" s="695"/>
      <c r="IBI4739" s="692"/>
      <c r="IBJ4739" s="695"/>
      <c r="IBK4739" s="692"/>
      <c r="IBL4739" s="695"/>
      <c r="IBM4739" s="692"/>
      <c r="IBN4739" s="695"/>
      <c r="IBO4739" s="692"/>
      <c r="IBP4739" s="695"/>
      <c r="IBQ4739" s="692"/>
      <c r="IBR4739" s="695"/>
      <c r="IBS4739" s="692"/>
      <c r="IBT4739" s="695"/>
      <c r="IBU4739" s="692"/>
      <c r="IBV4739" s="695"/>
      <c r="IBW4739" s="692"/>
      <c r="IBX4739" s="695"/>
      <c r="IBY4739" s="692"/>
      <c r="IBZ4739" s="695"/>
      <c r="ICA4739" s="692"/>
      <c r="ICB4739" s="695"/>
      <c r="ICC4739" s="692"/>
      <c r="ICD4739" s="695"/>
      <c r="ICE4739" s="692"/>
      <c r="ICF4739" s="695"/>
      <c r="ICG4739" s="692"/>
      <c r="ICH4739" s="695"/>
      <c r="ICI4739" s="692"/>
      <c r="ICJ4739" s="695"/>
      <c r="ICK4739" s="692"/>
      <c r="ICL4739" s="695"/>
      <c r="ICM4739" s="692"/>
      <c r="ICN4739" s="695"/>
      <c r="ICO4739" s="692"/>
      <c r="ICP4739" s="695"/>
      <c r="ICQ4739" s="692"/>
      <c r="ICR4739" s="695"/>
      <c r="ICS4739" s="692"/>
      <c r="ICT4739" s="695"/>
      <c r="ICU4739" s="692"/>
      <c r="ICV4739" s="695"/>
      <c r="ICW4739" s="692"/>
      <c r="ICX4739" s="695"/>
      <c r="ICY4739" s="692"/>
      <c r="ICZ4739" s="695"/>
      <c r="IDA4739" s="692"/>
      <c r="IDB4739" s="695"/>
      <c r="IDC4739" s="692"/>
      <c r="IDD4739" s="695"/>
      <c r="IDE4739" s="692"/>
      <c r="IDF4739" s="695"/>
      <c r="IDG4739" s="692"/>
      <c r="IDH4739" s="695"/>
      <c r="IDI4739" s="692"/>
      <c r="IDJ4739" s="695"/>
      <c r="IDK4739" s="692"/>
      <c r="IDL4739" s="695"/>
      <c r="IDM4739" s="692"/>
      <c r="IDN4739" s="695"/>
      <c r="IDO4739" s="692"/>
      <c r="IDP4739" s="695"/>
      <c r="IDQ4739" s="692"/>
      <c r="IDR4739" s="695"/>
      <c r="IDS4739" s="692"/>
      <c r="IDT4739" s="695"/>
      <c r="IDU4739" s="692"/>
      <c r="IDV4739" s="695"/>
      <c r="IDW4739" s="692"/>
      <c r="IDX4739" s="695"/>
      <c r="IDY4739" s="692"/>
      <c r="IDZ4739" s="695"/>
      <c r="IEA4739" s="692"/>
      <c r="IEB4739" s="695"/>
      <c r="IEC4739" s="692"/>
      <c r="IED4739" s="695"/>
      <c r="IEE4739" s="692"/>
      <c r="IEF4739" s="695"/>
      <c r="IEG4739" s="692"/>
      <c r="IEH4739" s="695"/>
      <c r="IEI4739" s="692"/>
      <c r="IEJ4739" s="695"/>
      <c r="IEK4739" s="692"/>
      <c r="IEL4739" s="695"/>
      <c r="IEM4739" s="692"/>
      <c r="IEN4739" s="695"/>
      <c r="IEO4739" s="692"/>
      <c r="IEP4739" s="695"/>
      <c r="IEQ4739" s="692"/>
      <c r="IER4739" s="695"/>
      <c r="IES4739" s="692"/>
      <c r="IET4739" s="695"/>
      <c r="IEU4739" s="692"/>
      <c r="IEV4739" s="695"/>
      <c r="IEW4739" s="692"/>
      <c r="IEX4739" s="695"/>
      <c r="IEY4739" s="692"/>
      <c r="IEZ4739" s="695"/>
      <c r="IFA4739" s="692"/>
      <c r="IFB4739" s="695"/>
      <c r="IFC4739" s="692"/>
      <c r="IFD4739" s="695"/>
      <c r="IFE4739" s="692"/>
      <c r="IFF4739" s="695"/>
      <c r="IFG4739" s="692"/>
      <c r="IFH4739" s="695"/>
      <c r="IFI4739" s="692"/>
      <c r="IFJ4739" s="695"/>
      <c r="IFK4739" s="692"/>
      <c r="IFL4739" s="695"/>
      <c r="IFM4739" s="692"/>
      <c r="IFN4739" s="695"/>
      <c r="IFO4739" s="692"/>
      <c r="IFP4739" s="695"/>
      <c r="IFQ4739" s="692"/>
      <c r="IFR4739" s="695"/>
      <c r="IFS4739" s="692"/>
      <c r="IFT4739" s="695"/>
      <c r="IFU4739" s="692"/>
      <c r="IFV4739" s="695"/>
      <c r="IFW4739" s="692"/>
      <c r="IFX4739" s="695"/>
      <c r="IFY4739" s="692"/>
      <c r="IFZ4739" s="695"/>
      <c r="IGA4739" s="692"/>
      <c r="IGB4739" s="695"/>
      <c r="IGC4739" s="692"/>
      <c r="IGD4739" s="695"/>
      <c r="IGE4739" s="692"/>
      <c r="IGF4739" s="695"/>
      <c r="IGG4739" s="692"/>
      <c r="IGH4739" s="695"/>
      <c r="IGI4739" s="692"/>
      <c r="IGJ4739" s="695"/>
      <c r="IGK4739" s="692"/>
      <c r="IGL4739" s="695"/>
      <c r="IGM4739" s="692"/>
      <c r="IGN4739" s="695"/>
      <c r="IGO4739" s="692"/>
      <c r="IGP4739" s="695"/>
      <c r="IGQ4739" s="692"/>
      <c r="IGR4739" s="695"/>
      <c r="IGS4739" s="692"/>
      <c r="IGT4739" s="695"/>
      <c r="IGU4739" s="692"/>
      <c r="IGV4739" s="695"/>
      <c r="IGW4739" s="692"/>
      <c r="IGX4739" s="695"/>
      <c r="IGY4739" s="692"/>
      <c r="IGZ4739" s="695"/>
      <c r="IHA4739" s="692"/>
      <c r="IHB4739" s="695"/>
      <c r="IHC4739" s="692"/>
      <c r="IHD4739" s="695"/>
      <c r="IHE4739" s="692"/>
      <c r="IHF4739" s="695"/>
      <c r="IHG4739" s="692"/>
      <c r="IHH4739" s="695"/>
      <c r="IHI4739" s="692"/>
      <c r="IHJ4739" s="695"/>
      <c r="IHK4739" s="692"/>
      <c r="IHL4739" s="695"/>
      <c r="IHM4739" s="692"/>
      <c r="IHN4739" s="695"/>
      <c r="IHO4739" s="692"/>
      <c r="IHP4739" s="695"/>
      <c r="IHQ4739" s="692"/>
      <c r="IHR4739" s="695"/>
      <c r="IHS4739" s="692"/>
      <c r="IHT4739" s="695"/>
      <c r="IHU4739" s="692"/>
      <c r="IHV4739" s="695"/>
      <c r="IHW4739" s="692"/>
      <c r="IHX4739" s="695"/>
      <c r="IHY4739" s="692"/>
      <c r="IHZ4739" s="695"/>
      <c r="IIA4739" s="692"/>
      <c r="IIB4739" s="695"/>
      <c r="IIC4739" s="692"/>
      <c r="IID4739" s="695"/>
      <c r="IIE4739" s="692"/>
      <c r="IIF4739" s="695"/>
      <c r="IIG4739" s="692"/>
      <c r="IIH4739" s="695"/>
      <c r="III4739" s="692"/>
      <c r="IIJ4739" s="695"/>
      <c r="IIK4739" s="692"/>
      <c r="IIL4739" s="695"/>
      <c r="IIM4739" s="692"/>
      <c r="IIN4739" s="695"/>
      <c r="IIO4739" s="692"/>
      <c r="IIP4739" s="695"/>
      <c r="IIQ4739" s="692"/>
      <c r="IIR4739" s="695"/>
      <c r="IIS4739" s="692"/>
      <c r="IIT4739" s="695"/>
      <c r="IIU4739" s="692"/>
      <c r="IIV4739" s="695"/>
      <c r="IIW4739" s="692"/>
      <c r="IIX4739" s="695"/>
      <c r="IIY4739" s="692"/>
      <c r="IIZ4739" s="695"/>
      <c r="IJA4739" s="692"/>
      <c r="IJB4739" s="695"/>
      <c r="IJC4739" s="692"/>
      <c r="IJD4739" s="695"/>
      <c r="IJE4739" s="692"/>
      <c r="IJF4739" s="695"/>
      <c r="IJG4739" s="692"/>
      <c r="IJH4739" s="695"/>
      <c r="IJI4739" s="692"/>
      <c r="IJJ4739" s="695"/>
      <c r="IJK4739" s="692"/>
      <c r="IJL4739" s="695"/>
      <c r="IJM4739" s="692"/>
      <c r="IJN4739" s="695"/>
      <c r="IJO4739" s="692"/>
      <c r="IJP4739" s="695"/>
      <c r="IJQ4739" s="692"/>
      <c r="IJR4739" s="695"/>
      <c r="IJS4739" s="692"/>
      <c r="IJT4739" s="695"/>
      <c r="IJU4739" s="692"/>
      <c r="IJV4739" s="695"/>
      <c r="IJW4739" s="692"/>
      <c r="IJX4739" s="695"/>
      <c r="IJY4739" s="692"/>
      <c r="IJZ4739" s="695"/>
      <c r="IKA4739" s="692"/>
      <c r="IKB4739" s="695"/>
      <c r="IKC4739" s="692"/>
      <c r="IKD4739" s="695"/>
      <c r="IKE4739" s="692"/>
      <c r="IKF4739" s="695"/>
      <c r="IKG4739" s="692"/>
      <c r="IKH4739" s="695"/>
      <c r="IKI4739" s="692"/>
      <c r="IKJ4739" s="695"/>
      <c r="IKK4739" s="692"/>
      <c r="IKL4739" s="695"/>
      <c r="IKM4739" s="692"/>
      <c r="IKN4739" s="695"/>
      <c r="IKO4739" s="692"/>
      <c r="IKP4739" s="695"/>
      <c r="IKQ4739" s="692"/>
      <c r="IKR4739" s="695"/>
      <c r="IKS4739" s="692"/>
      <c r="IKT4739" s="695"/>
      <c r="IKU4739" s="692"/>
      <c r="IKV4739" s="695"/>
      <c r="IKW4739" s="692"/>
      <c r="IKX4739" s="695"/>
      <c r="IKY4739" s="692"/>
      <c r="IKZ4739" s="695"/>
      <c r="ILA4739" s="692"/>
      <c r="ILB4739" s="695"/>
      <c r="ILC4739" s="692"/>
      <c r="ILD4739" s="695"/>
      <c r="ILE4739" s="692"/>
      <c r="ILF4739" s="695"/>
      <c r="ILG4739" s="692"/>
      <c r="ILH4739" s="695"/>
      <c r="ILI4739" s="692"/>
      <c r="ILJ4739" s="695"/>
      <c r="ILK4739" s="692"/>
      <c r="ILL4739" s="695"/>
      <c r="ILM4739" s="692"/>
      <c r="ILN4739" s="695"/>
      <c r="ILO4739" s="692"/>
      <c r="ILP4739" s="695"/>
      <c r="ILQ4739" s="692"/>
      <c r="ILR4739" s="695"/>
      <c r="ILS4739" s="692"/>
      <c r="ILT4739" s="695"/>
      <c r="ILU4739" s="692"/>
      <c r="ILV4739" s="695"/>
      <c r="ILW4739" s="692"/>
      <c r="ILX4739" s="695"/>
      <c r="ILY4739" s="692"/>
      <c r="ILZ4739" s="695"/>
      <c r="IMA4739" s="692"/>
      <c r="IMB4739" s="695"/>
      <c r="IMC4739" s="692"/>
      <c r="IMD4739" s="695"/>
      <c r="IME4739" s="692"/>
      <c r="IMF4739" s="695"/>
      <c r="IMG4739" s="692"/>
      <c r="IMH4739" s="695"/>
      <c r="IMI4739" s="692"/>
      <c r="IMJ4739" s="695"/>
      <c r="IMK4739" s="692"/>
      <c r="IML4739" s="695"/>
      <c r="IMM4739" s="692"/>
      <c r="IMN4739" s="695"/>
      <c r="IMO4739" s="692"/>
      <c r="IMP4739" s="695"/>
      <c r="IMQ4739" s="692"/>
      <c r="IMR4739" s="695"/>
      <c r="IMS4739" s="692"/>
      <c r="IMT4739" s="695"/>
      <c r="IMU4739" s="692"/>
      <c r="IMV4739" s="695"/>
      <c r="IMW4739" s="692"/>
      <c r="IMX4739" s="695"/>
      <c r="IMY4739" s="692"/>
      <c r="IMZ4739" s="695"/>
      <c r="INA4739" s="692"/>
      <c r="INB4739" s="695"/>
      <c r="INC4739" s="692"/>
      <c r="IND4739" s="695"/>
      <c r="INE4739" s="692"/>
      <c r="INF4739" s="695"/>
      <c r="ING4739" s="692"/>
      <c r="INH4739" s="695"/>
      <c r="INI4739" s="692"/>
      <c r="INJ4739" s="695"/>
      <c r="INK4739" s="692"/>
      <c r="INL4739" s="695"/>
      <c r="INM4739" s="692"/>
      <c r="INN4739" s="695"/>
      <c r="INO4739" s="692"/>
      <c r="INP4739" s="695"/>
      <c r="INQ4739" s="692"/>
      <c r="INR4739" s="695"/>
      <c r="INS4739" s="692"/>
      <c r="INT4739" s="695"/>
      <c r="INU4739" s="692"/>
      <c r="INV4739" s="695"/>
      <c r="INW4739" s="692"/>
      <c r="INX4739" s="695"/>
      <c r="INY4739" s="692"/>
      <c r="INZ4739" s="695"/>
      <c r="IOA4739" s="692"/>
      <c r="IOB4739" s="695"/>
      <c r="IOC4739" s="692"/>
      <c r="IOD4739" s="695"/>
      <c r="IOE4739" s="692"/>
      <c r="IOF4739" s="695"/>
      <c r="IOG4739" s="692"/>
      <c r="IOH4739" s="695"/>
      <c r="IOI4739" s="692"/>
      <c r="IOJ4739" s="695"/>
      <c r="IOK4739" s="692"/>
      <c r="IOL4739" s="695"/>
      <c r="IOM4739" s="692"/>
      <c r="ION4739" s="695"/>
      <c r="IOO4739" s="692"/>
      <c r="IOP4739" s="695"/>
      <c r="IOQ4739" s="692"/>
      <c r="IOR4739" s="695"/>
      <c r="IOS4739" s="692"/>
      <c r="IOT4739" s="695"/>
      <c r="IOU4739" s="692"/>
      <c r="IOV4739" s="695"/>
      <c r="IOW4739" s="692"/>
      <c r="IOX4739" s="695"/>
      <c r="IOY4739" s="692"/>
      <c r="IOZ4739" s="695"/>
      <c r="IPA4739" s="692"/>
      <c r="IPB4739" s="695"/>
      <c r="IPC4739" s="692"/>
      <c r="IPD4739" s="695"/>
      <c r="IPE4739" s="692"/>
      <c r="IPF4739" s="695"/>
      <c r="IPG4739" s="692"/>
      <c r="IPH4739" s="695"/>
      <c r="IPI4739" s="692"/>
      <c r="IPJ4739" s="695"/>
      <c r="IPK4739" s="692"/>
      <c r="IPL4739" s="695"/>
      <c r="IPM4739" s="692"/>
      <c r="IPN4739" s="695"/>
      <c r="IPO4739" s="692"/>
      <c r="IPP4739" s="695"/>
      <c r="IPQ4739" s="692"/>
      <c r="IPR4739" s="695"/>
      <c r="IPS4739" s="692"/>
      <c r="IPT4739" s="695"/>
      <c r="IPU4739" s="692"/>
      <c r="IPV4739" s="695"/>
      <c r="IPW4739" s="692"/>
      <c r="IPX4739" s="695"/>
      <c r="IPY4739" s="692"/>
      <c r="IPZ4739" s="695"/>
      <c r="IQA4739" s="692"/>
      <c r="IQB4739" s="695"/>
      <c r="IQC4739" s="692"/>
      <c r="IQD4739" s="695"/>
      <c r="IQE4739" s="692"/>
      <c r="IQF4739" s="695"/>
      <c r="IQG4739" s="692"/>
      <c r="IQH4739" s="695"/>
      <c r="IQI4739" s="692"/>
      <c r="IQJ4739" s="695"/>
      <c r="IQK4739" s="692"/>
      <c r="IQL4739" s="695"/>
      <c r="IQM4739" s="692"/>
      <c r="IQN4739" s="695"/>
      <c r="IQO4739" s="692"/>
      <c r="IQP4739" s="695"/>
      <c r="IQQ4739" s="692"/>
      <c r="IQR4739" s="695"/>
      <c r="IQS4739" s="692"/>
      <c r="IQT4739" s="695"/>
      <c r="IQU4739" s="692"/>
      <c r="IQV4739" s="695"/>
      <c r="IQW4739" s="692"/>
      <c r="IQX4739" s="695"/>
      <c r="IQY4739" s="692"/>
      <c r="IQZ4739" s="695"/>
      <c r="IRA4739" s="692"/>
      <c r="IRB4739" s="695"/>
      <c r="IRC4739" s="692"/>
      <c r="IRD4739" s="695"/>
      <c r="IRE4739" s="692"/>
      <c r="IRF4739" s="695"/>
      <c r="IRG4739" s="692"/>
      <c r="IRH4739" s="695"/>
      <c r="IRI4739" s="692"/>
      <c r="IRJ4739" s="695"/>
      <c r="IRK4739" s="692"/>
      <c r="IRL4739" s="695"/>
      <c r="IRM4739" s="692"/>
      <c r="IRN4739" s="695"/>
      <c r="IRO4739" s="692"/>
      <c r="IRP4739" s="695"/>
      <c r="IRQ4739" s="692"/>
      <c r="IRR4739" s="695"/>
      <c r="IRS4739" s="692"/>
      <c r="IRT4739" s="695"/>
      <c r="IRU4739" s="692"/>
      <c r="IRV4739" s="695"/>
      <c r="IRW4739" s="692"/>
      <c r="IRX4739" s="695"/>
      <c r="IRY4739" s="692"/>
      <c r="IRZ4739" s="695"/>
      <c r="ISA4739" s="692"/>
      <c r="ISB4739" s="695"/>
      <c r="ISC4739" s="692"/>
      <c r="ISD4739" s="695"/>
      <c r="ISE4739" s="692"/>
      <c r="ISF4739" s="695"/>
      <c r="ISG4739" s="692"/>
      <c r="ISH4739" s="695"/>
      <c r="ISI4739" s="692"/>
      <c r="ISJ4739" s="695"/>
      <c r="ISK4739" s="692"/>
      <c r="ISL4739" s="695"/>
      <c r="ISM4739" s="692"/>
      <c r="ISN4739" s="695"/>
      <c r="ISO4739" s="692"/>
      <c r="ISP4739" s="695"/>
      <c r="ISQ4739" s="692"/>
      <c r="ISR4739" s="695"/>
      <c r="ISS4739" s="692"/>
      <c r="IST4739" s="695"/>
      <c r="ISU4739" s="692"/>
      <c r="ISV4739" s="695"/>
      <c r="ISW4739" s="692"/>
      <c r="ISX4739" s="695"/>
      <c r="ISY4739" s="692"/>
      <c r="ISZ4739" s="695"/>
      <c r="ITA4739" s="692"/>
      <c r="ITB4739" s="695"/>
      <c r="ITC4739" s="692"/>
      <c r="ITD4739" s="695"/>
      <c r="ITE4739" s="692"/>
      <c r="ITF4739" s="695"/>
      <c r="ITG4739" s="692"/>
      <c r="ITH4739" s="695"/>
      <c r="ITI4739" s="692"/>
      <c r="ITJ4739" s="695"/>
      <c r="ITK4739" s="692"/>
      <c r="ITL4739" s="695"/>
      <c r="ITM4739" s="692"/>
      <c r="ITN4739" s="695"/>
      <c r="ITO4739" s="692"/>
      <c r="ITP4739" s="695"/>
      <c r="ITQ4739" s="692"/>
      <c r="ITR4739" s="695"/>
      <c r="ITS4739" s="692"/>
      <c r="ITT4739" s="695"/>
      <c r="ITU4739" s="692"/>
      <c r="ITV4739" s="695"/>
      <c r="ITW4739" s="692"/>
      <c r="ITX4739" s="695"/>
      <c r="ITY4739" s="692"/>
      <c r="ITZ4739" s="695"/>
      <c r="IUA4739" s="692"/>
      <c r="IUB4739" s="695"/>
      <c r="IUC4739" s="692"/>
      <c r="IUD4739" s="695"/>
      <c r="IUE4739" s="692"/>
      <c r="IUF4739" s="695"/>
      <c r="IUG4739" s="692"/>
      <c r="IUH4739" s="695"/>
      <c r="IUI4739" s="692"/>
      <c r="IUJ4739" s="695"/>
      <c r="IUK4739" s="692"/>
      <c r="IUL4739" s="695"/>
      <c r="IUM4739" s="692"/>
      <c r="IUN4739" s="695"/>
      <c r="IUO4739" s="692"/>
      <c r="IUP4739" s="695"/>
      <c r="IUQ4739" s="692"/>
      <c r="IUR4739" s="695"/>
      <c r="IUS4739" s="692"/>
      <c r="IUT4739" s="695"/>
      <c r="IUU4739" s="692"/>
      <c r="IUV4739" s="695"/>
      <c r="IUW4739" s="692"/>
      <c r="IUX4739" s="695"/>
      <c r="IUY4739" s="692"/>
      <c r="IUZ4739" s="695"/>
      <c r="IVA4739" s="692"/>
      <c r="IVB4739" s="695"/>
      <c r="IVC4739" s="692"/>
      <c r="IVD4739" s="695"/>
      <c r="IVE4739" s="692"/>
      <c r="IVF4739" s="695"/>
      <c r="IVG4739" s="692"/>
      <c r="IVH4739" s="695"/>
      <c r="IVI4739" s="692"/>
      <c r="IVJ4739" s="695"/>
      <c r="IVK4739" s="692"/>
      <c r="IVL4739" s="695"/>
      <c r="IVM4739" s="692"/>
      <c r="IVN4739" s="695"/>
      <c r="IVO4739" s="692"/>
      <c r="IVP4739" s="695"/>
      <c r="IVQ4739" s="692"/>
      <c r="IVR4739" s="695"/>
      <c r="IVS4739" s="692"/>
      <c r="IVT4739" s="695"/>
      <c r="IVU4739" s="692"/>
      <c r="IVV4739" s="695"/>
      <c r="IVW4739" s="692"/>
      <c r="IVX4739" s="695"/>
      <c r="IVY4739" s="692"/>
      <c r="IVZ4739" s="695"/>
      <c r="IWA4739" s="692"/>
      <c r="IWB4739" s="695"/>
      <c r="IWC4739" s="692"/>
      <c r="IWD4739" s="695"/>
      <c r="IWE4739" s="692"/>
      <c r="IWF4739" s="695"/>
      <c r="IWG4739" s="692"/>
      <c r="IWH4739" s="695"/>
      <c r="IWI4739" s="692"/>
      <c r="IWJ4739" s="695"/>
      <c r="IWK4739" s="692"/>
      <c r="IWL4739" s="695"/>
      <c r="IWM4739" s="692"/>
      <c r="IWN4739" s="695"/>
      <c r="IWO4739" s="692"/>
      <c r="IWP4739" s="695"/>
      <c r="IWQ4739" s="692"/>
      <c r="IWR4739" s="695"/>
      <c r="IWS4739" s="692"/>
      <c r="IWT4739" s="695"/>
      <c r="IWU4739" s="692"/>
      <c r="IWV4739" s="695"/>
      <c r="IWW4739" s="692"/>
      <c r="IWX4739" s="695"/>
      <c r="IWY4739" s="692"/>
      <c r="IWZ4739" s="695"/>
      <c r="IXA4739" s="692"/>
      <c r="IXB4739" s="695"/>
      <c r="IXC4739" s="692"/>
      <c r="IXD4739" s="695"/>
      <c r="IXE4739" s="692"/>
      <c r="IXF4739" s="695"/>
      <c r="IXG4739" s="692"/>
      <c r="IXH4739" s="695"/>
      <c r="IXI4739" s="692"/>
      <c r="IXJ4739" s="695"/>
      <c r="IXK4739" s="692"/>
      <c r="IXL4739" s="695"/>
      <c r="IXM4739" s="692"/>
      <c r="IXN4739" s="695"/>
      <c r="IXO4739" s="692"/>
      <c r="IXP4739" s="695"/>
      <c r="IXQ4739" s="692"/>
      <c r="IXR4739" s="695"/>
      <c r="IXS4739" s="692"/>
      <c r="IXT4739" s="695"/>
      <c r="IXU4739" s="692"/>
      <c r="IXV4739" s="695"/>
      <c r="IXW4739" s="692"/>
      <c r="IXX4739" s="695"/>
      <c r="IXY4739" s="692"/>
      <c r="IXZ4739" s="695"/>
      <c r="IYA4739" s="692"/>
      <c r="IYB4739" s="695"/>
      <c r="IYC4739" s="692"/>
      <c r="IYD4739" s="695"/>
      <c r="IYE4739" s="692"/>
      <c r="IYF4739" s="695"/>
      <c r="IYG4739" s="692"/>
      <c r="IYH4739" s="695"/>
      <c r="IYI4739" s="692"/>
      <c r="IYJ4739" s="695"/>
      <c r="IYK4739" s="692"/>
      <c r="IYL4739" s="695"/>
      <c r="IYM4739" s="692"/>
      <c r="IYN4739" s="695"/>
      <c r="IYO4739" s="692"/>
      <c r="IYP4739" s="695"/>
      <c r="IYQ4739" s="692"/>
      <c r="IYR4739" s="695"/>
      <c r="IYS4739" s="692"/>
      <c r="IYT4739" s="695"/>
      <c r="IYU4739" s="692"/>
      <c r="IYV4739" s="695"/>
      <c r="IYW4739" s="692"/>
      <c r="IYX4739" s="695"/>
      <c r="IYY4739" s="692"/>
      <c r="IYZ4739" s="695"/>
      <c r="IZA4739" s="692"/>
      <c r="IZB4739" s="695"/>
      <c r="IZC4739" s="692"/>
      <c r="IZD4739" s="695"/>
      <c r="IZE4739" s="692"/>
      <c r="IZF4739" s="695"/>
      <c r="IZG4739" s="692"/>
      <c r="IZH4739" s="695"/>
      <c r="IZI4739" s="692"/>
      <c r="IZJ4739" s="695"/>
      <c r="IZK4739" s="692"/>
      <c r="IZL4739" s="695"/>
      <c r="IZM4739" s="692"/>
      <c r="IZN4739" s="695"/>
      <c r="IZO4739" s="692"/>
      <c r="IZP4739" s="695"/>
      <c r="IZQ4739" s="692"/>
      <c r="IZR4739" s="695"/>
      <c r="IZS4739" s="692"/>
      <c r="IZT4739" s="695"/>
      <c r="IZU4739" s="692"/>
      <c r="IZV4739" s="695"/>
      <c r="IZW4739" s="692"/>
      <c r="IZX4739" s="695"/>
      <c r="IZY4739" s="692"/>
      <c r="IZZ4739" s="695"/>
      <c r="JAA4739" s="692"/>
      <c r="JAB4739" s="695"/>
      <c r="JAC4739" s="692"/>
      <c r="JAD4739" s="695"/>
      <c r="JAE4739" s="692"/>
      <c r="JAF4739" s="695"/>
      <c r="JAG4739" s="692"/>
      <c r="JAH4739" s="695"/>
      <c r="JAI4739" s="692"/>
      <c r="JAJ4739" s="695"/>
      <c r="JAK4739" s="692"/>
      <c r="JAL4739" s="695"/>
      <c r="JAM4739" s="692"/>
      <c r="JAN4739" s="695"/>
      <c r="JAO4739" s="692"/>
      <c r="JAP4739" s="695"/>
      <c r="JAQ4739" s="692"/>
      <c r="JAR4739" s="695"/>
      <c r="JAS4739" s="692"/>
      <c r="JAT4739" s="695"/>
      <c r="JAU4739" s="692"/>
      <c r="JAV4739" s="695"/>
      <c r="JAW4739" s="692"/>
      <c r="JAX4739" s="695"/>
      <c r="JAY4739" s="692"/>
      <c r="JAZ4739" s="695"/>
      <c r="JBA4739" s="692"/>
      <c r="JBB4739" s="695"/>
      <c r="JBC4739" s="692"/>
      <c r="JBD4739" s="695"/>
      <c r="JBE4739" s="692"/>
      <c r="JBF4739" s="695"/>
      <c r="JBG4739" s="692"/>
      <c r="JBH4739" s="695"/>
      <c r="JBI4739" s="692"/>
      <c r="JBJ4739" s="695"/>
      <c r="JBK4739" s="692"/>
      <c r="JBL4739" s="695"/>
      <c r="JBM4739" s="692"/>
      <c r="JBN4739" s="695"/>
      <c r="JBO4739" s="692"/>
      <c r="JBP4739" s="695"/>
      <c r="JBQ4739" s="692"/>
      <c r="JBR4739" s="695"/>
      <c r="JBS4739" s="692"/>
      <c r="JBT4739" s="695"/>
      <c r="JBU4739" s="692"/>
      <c r="JBV4739" s="695"/>
      <c r="JBW4739" s="692"/>
      <c r="JBX4739" s="695"/>
      <c r="JBY4739" s="692"/>
      <c r="JBZ4739" s="695"/>
      <c r="JCA4739" s="692"/>
      <c r="JCB4739" s="695"/>
      <c r="JCC4739" s="692"/>
      <c r="JCD4739" s="695"/>
      <c r="JCE4739" s="692"/>
      <c r="JCF4739" s="695"/>
      <c r="JCG4739" s="692"/>
      <c r="JCH4739" s="695"/>
      <c r="JCI4739" s="692"/>
      <c r="JCJ4739" s="695"/>
      <c r="JCK4739" s="692"/>
      <c r="JCL4739" s="695"/>
      <c r="JCM4739" s="692"/>
      <c r="JCN4739" s="695"/>
      <c r="JCO4739" s="692"/>
      <c r="JCP4739" s="695"/>
      <c r="JCQ4739" s="692"/>
      <c r="JCR4739" s="695"/>
      <c r="JCS4739" s="692"/>
      <c r="JCT4739" s="695"/>
      <c r="JCU4739" s="692"/>
      <c r="JCV4739" s="695"/>
      <c r="JCW4739" s="692"/>
      <c r="JCX4739" s="695"/>
      <c r="JCY4739" s="692"/>
      <c r="JCZ4739" s="695"/>
      <c r="JDA4739" s="692"/>
      <c r="JDB4739" s="695"/>
      <c r="JDC4739" s="692"/>
      <c r="JDD4739" s="695"/>
      <c r="JDE4739" s="692"/>
      <c r="JDF4739" s="695"/>
      <c r="JDG4739" s="692"/>
      <c r="JDH4739" s="695"/>
      <c r="JDI4739" s="692"/>
      <c r="JDJ4739" s="695"/>
      <c r="JDK4739" s="692"/>
      <c r="JDL4739" s="695"/>
      <c r="JDM4739" s="692"/>
      <c r="JDN4739" s="695"/>
      <c r="JDO4739" s="692"/>
      <c r="JDP4739" s="695"/>
      <c r="JDQ4739" s="692"/>
      <c r="JDR4739" s="695"/>
      <c r="JDS4739" s="692"/>
      <c r="JDT4739" s="695"/>
      <c r="JDU4739" s="692"/>
      <c r="JDV4739" s="695"/>
      <c r="JDW4739" s="692"/>
      <c r="JDX4739" s="695"/>
      <c r="JDY4739" s="692"/>
      <c r="JDZ4739" s="695"/>
      <c r="JEA4739" s="692"/>
      <c r="JEB4739" s="695"/>
      <c r="JEC4739" s="692"/>
      <c r="JED4739" s="695"/>
      <c r="JEE4739" s="692"/>
      <c r="JEF4739" s="695"/>
      <c r="JEG4739" s="692"/>
      <c r="JEH4739" s="695"/>
      <c r="JEI4739" s="692"/>
      <c r="JEJ4739" s="695"/>
      <c r="JEK4739" s="692"/>
      <c r="JEL4739" s="695"/>
      <c r="JEM4739" s="692"/>
      <c r="JEN4739" s="695"/>
      <c r="JEO4739" s="692"/>
      <c r="JEP4739" s="695"/>
      <c r="JEQ4739" s="692"/>
      <c r="JER4739" s="695"/>
      <c r="JES4739" s="692"/>
      <c r="JET4739" s="695"/>
      <c r="JEU4739" s="692"/>
      <c r="JEV4739" s="695"/>
      <c r="JEW4739" s="692"/>
      <c r="JEX4739" s="695"/>
      <c r="JEY4739" s="692"/>
      <c r="JEZ4739" s="695"/>
      <c r="JFA4739" s="692"/>
      <c r="JFB4739" s="695"/>
      <c r="JFC4739" s="692"/>
      <c r="JFD4739" s="695"/>
      <c r="JFE4739" s="692"/>
      <c r="JFF4739" s="695"/>
      <c r="JFG4739" s="692"/>
      <c r="JFH4739" s="695"/>
      <c r="JFI4739" s="692"/>
      <c r="JFJ4739" s="695"/>
      <c r="JFK4739" s="692"/>
      <c r="JFL4739" s="695"/>
      <c r="JFM4739" s="692"/>
      <c r="JFN4739" s="695"/>
      <c r="JFO4739" s="692"/>
      <c r="JFP4739" s="695"/>
      <c r="JFQ4739" s="692"/>
      <c r="JFR4739" s="695"/>
      <c r="JFS4739" s="692"/>
      <c r="JFT4739" s="695"/>
      <c r="JFU4739" s="692"/>
      <c r="JFV4739" s="695"/>
      <c r="JFW4739" s="692"/>
      <c r="JFX4739" s="695"/>
      <c r="JFY4739" s="692"/>
      <c r="JFZ4739" s="695"/>
      <c r="JGA4739" s="692"/>
      <c r="JGB4739" s="695"/>
      <c r="JGC4739" s="692"/>
      <c r="JGD4739" s="695"/>
      <c r="JGE4739" s="692"/>
      <c r="JGF4739" s="695"/>
      <c r="JGG4739" s="692"/>
      <c r="JGH4739" s="695"/>
      <c r="JGI4739" s="692"/>
      <c r="JGJ4739" s="695"/>
      <c r="JGK4739" s="692"/>
      <c r="JGL4739" s="695"/>
      <c r="JGM4739" s="692"/>
      <c r="JGN4739" s="695"/>
      <c r="JGO4739" s="692"/>
      <c r="JGP4739" s="695"/>
      <c r="JGQ4739" s="692"/>
      <c r="JGR4739" s="695"/>
      <c r="JGS4739" s="692"/>
      <c r="JGT4739" s="695"/>
      <c r="JGU4739" s="692"/>
      <c r="JGV4739" s="695"/>
      <c r="JGW4739" s="692"/>
      <c r="JGX4739" s="695"/>
      <c r="JGY4739" s="692"/>
      <c r="JGZ4739" s="695"/>
      <c r="JHA4739" s="692"/>
      <c r="JHB4739" s="695"/>
      <c r="JHC4739" s="692"/>
      <c r="JHD4739" s="695"/>
      <c r="JHE4739" s="692"/>
      <c r="JHF4739" s="695"/>
      <c r="JHG4739" s="692"/>
      <c r="JHH4739" s="695"/>
      <c r="JHI4739" s="692"/>
      <c r="JHJ4739" s="695"/>
      <c r="JHK4739" s="692"/>
      <c r="JHL4739" s="695"/>
      <c r="JHM4739" s="692"/>
      <c r="JHN4739" s="695"/>
      <c r="JHO4739" s="692"/>
      <c r="JHP4739" s="695"/>
      <c r="JHQ4739" s="692"/>
      <c r="JHR4739" s="695"/>
      <c r="JHS4739" s="692"/>
      <c r="JHT4739" s="695"/>
      <c r="JHU4739" s="692"/>
      <c r="JHV4739" s="695"/>
      <c r="JHW4739" s="692"/>
      <c r="JHX4739" s="695"/>
      <c r="JHY4739" s="692"/>
      <c r="JHZ4739" s="695"/>
      <c r="JIA4739" s="692"/>
      <c r="JIB4739" s="695"/>
      <c r="JIC4739" s="692"/>
      <c r="JID4739" s="695"/>
      <c r="JIE4739" s="692"/>
      <c r="JIF4739" s="695"/>
      <c r="JIG4739" s="692"/>
      <c r="JIH4739" s="695"/>
      <c r="JII4739" s="692"/>
      <c r="JIJ4739" s="695"/>
      <c r="JIK4739" s="692"/>
      <c r="JIL4739" s="695"/>
      <c r="JIM4739" s="692"/>
      <c r="JIN4739" s="695"/>
      <c r="JIO4739" s="692"/>
      <c r="JIP4739" s="695"/>
      <c r="JIQ4739" s="692"/>
      <c r="JIR4739" s="695"/>
      <c r="JIS4739" s="692"/>
      <c r="JIT4739" s="695"/>
      <c r="JIU4739" s="692"/>
      <c r="JIV4739" s="695"/>
      <c r="JIW4739" s="692"/>
      <c r="JIX4739" s="695"/>
      <c r="JIY4739" s="692"/>
      <c r="JIZ4739" s="695"/>
      <c r="JJA4739" s="692"/>
      <c r="JJB4739" s="695"/>
      <c r="JJC4739" s="692"/>
      <c r="JJD4739" s="695"/>
      <c r="JJE4739" s="692"/>
      <c r="JJF4739" s="695"/>
      <c r="JJG4739" s="692"/>
      <c r="JJH4739" s="695"/>
      <c r="JJI4739" s="692"/>
      <c r="JJJ4739" s="695"/>
      <c r="JJK4739" s="692"/>
      <c r="JJL4739" s="695"/>
      <c r="JJM4739" s="692"/>
      <c r="JJN4739" s="695"/>
      <c r="JJO4739" s="692"/>
      <c r="JJP4739" s="695"/>
      <c r="JJQ4739" s="692"/>
      <c r="JJR4739" s="695"/>
      <c r="JJS4739" s="692"/>
      <c r="JJT4739" s="695"/>
      <c r="JJU4739" s="692"/>
      <c r="JJV4739" s="695"/>
      <c r="JJW4739" s="692"/>
      <c r="JJX4739" s="695"/>
      <c r="JJY4739" s="692"/>
      <c r="JJZ4739" s="695"/>
      <c r="JKA4739" s="692"/>
      <c r="JKB4739" s="695"/>
      <c r="JKC4739" s="692"/>
      <c r="JKD4739" s="695"/>
      <c r="JKE4739" s="692"/>
      <c r="JKF4739" s="695"/>
      <c r="JKG4739" s="692"/>
      <c r="JKH4739" s="695"/>
      <c r="JKI4739" s="692"/>
      <c r="JKJ4739" s="695"/>
      <c r="JKK4739" s="692"/>
      <c r="JKL4739" s="695"/>
      <c r="JKM4739" s="692"/>
      <c r="JKN4739" s="695"/>
      <c r="JKO4739" s="692"/>
      <c r="JKP4739" s="695"/>
      <c r="JKQ4739" s="692"/>
      <c r="JKR4739" s="695"/>
      <c r="JKS4739" s="692"/>
      <c r="JKT4739" s="695"/>
      <c r="JKU4739" s="692"/>
      <c r="JKV4739" s="695"/>
      <c r="JKW4739" s="692"/>
      <c r="JKX4739" s="695"/>
      <c r="JKY4739" s="692"/>
      <c r="JKZ4739" s="695"/>
      <c r="JLA4739" s="692"/>
      <c r="JLB4739" s="695"/>
      <c r="JLC4739" s="692"/>
      <c r="JLD4739" s="695"/>
      <c r="JLE4739" s="692"/>
      <c r="JLF4739" s="695"/>
      <c r="JLG4739" s="692"/>
      <c r="JLH4739" s="695"/>
      <c r="JLI4739" s="692"/>
      <c r="JLJ4739" s="695"/>
      <c r="JLK4739" s="692"/>
      <c r="JLL4739" s="695"/>
      <c r="JLM4739" s="692"/>
      <c r="JLN4739" s="695"/>
      <c r="JLO4739" s="692"/>
      <c r="JLP4739" s="695"/>
      <c r="JLQ4739" s="692"/>
      <c r="JLR4739" s="695"/>
      <c r="JLS4739" s="692"/>
      <c r="JLT4739" s="695"/>
      <c r="JLU4739" s="692"/>
      <c r="JLV4739" s="695"/>
      <c r="JLW4739" s="692"/>
      <c r="JLX4739" s="695"/>
      <c r="JLY4739" s="692"/>
      <c r="JLZ4739" s="695"/>
      <c r="JMA4739" s="692"/>
      <c r="JMB4739" s="695"/>
      <c r="JMC4739" s="692"/>
      <c r="JMD4739" s="695"/>
      <c r="JME4739" s="692"/>
      <c r="JMF4739" s="695"/>
      <c r="JMG4739" s="692"/>
      <c r="JMH4739" s="695"/>
      <c r="JMI4739" s="692"/>
      <c r="JMJ4739" s="695"/>
      <c r="JMK4739" s="692"/>
      <c r="JML4739" s="695"/>
      <c r="JMM4739" s="692"/>
      <c r="JMN4739" s="695"/>
      <c r="JMO4739" s="692"/>
      <c r="JMP4739" s="695"/>
      <c r="JMQ4739" s="692"/>
      <c r="JMR4739" s="695"/>
      <c r="JMS4739" s="692"/>
      <c r="JMT4739" s="695"/>
      <c r="JMU4739" s="692"/>
      <c r="JMV4739" s="695"/>
      <c r="JMW4739" s="692"/>
      <c r="JMX4739" s="695"/>
      <c r="JMY4739" s="692"/>
      <c r="JMZ4739" s="695"/>
      <c r="JNA4739" s="692"/>
      <c r="JNB4739" s="695"/>
      <c r="JNC4739" s="692"/>
      <c r="JND4739" s="695"/>
      <c r="JNE4739" s="692"/>
      <c r="JNF4739" s="695"/>
      <c r="JNG4739" s="692"/>
      <c r="JNH4739" s="695"/>
      <c r="JNI4739" s="692"/>
      <c r="JNJ4739" s="695"/>
      <c r="JNK4739" s="692"/>
      <c r="JNL4739" s="695"/>
      <c r="JNM4739" s="692"/>
      <c r="JNN4739" s="695"/>
      <c r="JNO4739" s="692"/>
      <c r="JNP4739" s="695"/>
      <c r="JNQ4739" s="692"/>
      <c r="JNR4739" s="695"/>
      <c r="JNS4739" s="692"/>
      <c r="JNT4739" s="695"/>
      <c r="JNU4739" s="692"/>
      <c r="JNV4739" s="695"/>
      <c r="JNW4739" s="692"/>
      <c r="JNX4739" s="695"/>
      <c r="JNY4739" s="692"/>
      <c r="JNZ4739" s="695"/>
      <c r="JOA4739" s="692"/>
      <c r="JOB4739" s="695"/>
      <c r="JOC4739" s="692"/>
      <c r="JOD4739" s="695"/>
      <c r="JOE4739" s="692"/>
      <c r="JOF4739" s="695"/>
      <c r="JOG4739" s="692"/>
      <c r="JOH4739" s="695"/>
      <c r="JOI4739" s="692"/>
      <c r="JOJ4739" s="695"/>
      <c r="JOK4739" s="692"/>
      <c r="JOL4739" s="695"/>
      <c r="JOM4739" s="692"/>
      <c r="JON4739" s="695"/>
      <c r="JOO4739" s="692"/>
      <c r="JOP4739" s="695"/>
      <c r="JOQ4739" s="692"/>
      <c r="JOR4739" s="695"/>
      <c r="JOS4739" s="692"/>
      <c r="JOT4739" s="695"/>
      <c r="JOU4739" s="692"/>
      <c r="JOV4739" s="695"/>
      <c r="JOW4739" s="692"/>
      <c r="JOX4739" s="695"/>
      <c r="JOY4739" s="692"/>
      <c r="JOZ4739" s="695"/>
      <c r="JPA4739" s="692"/>
      <c r="JPB4739" s="695"/>
      <c r="JPC4739" s="692"/>
      <c r="JPD4739" s="695"/>
      <c r="JPE4739" s="692"/>
      <c r="JPF4739" s="695"/>
      <c r="JPG4739" s="692"/>
      <c r="JPH4739" s="695"/>
      <c r="JPI4739" s="692"/>
      <c r="JPJ4739" s="695"/>
      <c r="JPK4739" s="692"/>
      <c r="JPL4739" s="695"/>
      <c r="JPM4739" s="692"/>
      <c r="JPN4739" s="695"/>
      <c r="JPO4739" s="692"/>
      <c r="JPP4739" s="695"/>
      <c r="JPQ4739" s="692"/>
      <c r="JPR4739" s="695"/>
      <c r="JPS4739" s="692"/>
      <c r="JPT4739" s="695"/>
      <c r="JPU4739" s="692"/>
      <c r="JPV4739" s="695"/>
      <c r="JPW4739" s="692"/>
      <c r="JPX4739" s="695"/>
      <c r="JPY4739" s="692"/>
      <c r="JPZ4739" s="695"/>
      <c r="JQA4739" s="692"/>
      <c r="JQB4739" s="695"/>
      <c r="JQC4739" s="692"/>
      <c r="JQD4739" s="695"/>
      <c r="JQE4739" s="692"/>
      <c r="JQF4739" s="695"/>
      <c r="JQG4739" s="692"/>
      <c r="JQH4739" s="695"/>
      <c r="JQI4739" s="692"/>
      <c r="JQJ4739" s="695"/>
      <c r="JQK4739" s="692"/>
      <c r="JQL4739" s="695"/>
      <c r="JQM4739" s="692"/>
      <c r="JQN4739" s="695"/>
      <c r="JQO4739" s="692"/>
      <c r="JQP4739" s="695"/>
      <c r="JQQ4739" s="692"/>
      <c r="JQR4739" s="695"/>
      <c r="JQS4739" s="692"/>
      <c r="JQT4739" s="695"/>
      <c r="JQU4739" s="692"/>
      <c r="JQV4739" s="695"/>
      <c r="JQW4739" s="692"/>
      <c r="JQX4739" s="695"/>
      <c r="JQY4739" s="692"/>
      <c r="JQZ4739" s="695"/>
      <c r="JRA4739" s="692"/>
      <c r="JRB4739" s="695"/>
      <c r="JRC4739" s="692"/>
      <c r="JRD4739" s="695"/>
      <c r="JRE4739" s="692"/>
      <c r="JRF4739" s="695"/>
      <c r="JRG4739" s="692"/>
      <c r="JRH4739" s="695"/>
      <c r="JRI4739" s="692"/>
      <c r="JRJ4739" s="695"/>
      <c r="JRK4739" s="692"/>
      <c r="JRL4739" s="695"/>
      <c r="JRM4739" s="692"/>
      <c r="JRN4739" s="695"/>
      <c r="JRO4739" s="692"/>
      <c r="JRP4739" s="695"/>
      <c r="JRQ4739" s="692"/>
      <c r="JRR4739" s="695"/>
      <c r="JRS4739" s="692"/>
      <c r="JRT4739" s="695"/>
      <c r="JRU4739" s="692"/>
      <c r="JRV4739" s="695"/>
      <c r="JRW4739" s="692"/>
      <c r="JRX4739" s="695"/>
      <c r="JRY4739" s="692"/>
      <c r="JRZ4739" s="695"/>
      <c r="JSA4739" s="692"/>
      <c r="JSB4739" s="695"/>
      <c r="JSC4739" s="692"/>
      <c r="JSD4739" s="695"/>
      <c r="JSE4739" s="692"/>
      <c r="JSF4739" s="695"/>
      <c r="JSG4739" s="692"/>
      <c r="JSH4739" s="695"/>
      <c r="JSI4739" s="692"/>
      <c r="JSJ4739" s="695"/>
      <c r="JSK4739" s="692"/>
      <c r="JSL4739" s="695"/>
      <c r="JSM4739" s="692"/>
      <c r="JSN4739" s="695"/>
      <c r="JSO4739" s="692"/>
      <c r="JSP4739" s="695"/>
      <c r="JSQ4739" s="692"/>
      <c r="JSR4739" s="695"/>
      <c r="JSS4739" s="692"/>
      <c r="JST4739" s="695"/>
      <c r="JSU4739" s="692"/>
      <c r="JSV4739" s="695"/>
      <c r="JSW4739" s="692"/>
      <c r="JSX4739" s="695"/>
      <c r="JSY4739" s="692"/>
      <c r="JSZ4739" s="695"/>
      <c r="JTA4739" s="692"/>
      <c r="JTB4739" s="695"/>
      <c r="JTC4739" s="692"/>
      <c r="JTD4739" s="695"/>
      <c r="JTE4739" s="692"/>
      <c r="JTF4739" s="695"/>
      <c r="JTG4739" s="692"/>
      <c r="JTH4739" s="695"/>
      <c r="JTI4739" s="692"/>
      <c r="JTJ4739" s="695"/>
      <c r="JTK4739" s="692"/>
      <c r="JTL4739" s="695"/>
      <c r="JTM4739" s="692"/>
      <c r="JTN4739" s="695"/>
      <c r="JTO4739" s="692"/>
      <c r="JTP4739" s="695"/>
      <c r="JTQ4739" s="692"/>
      <c r="JTR4739" s="695"/>
      <c r="JTS4739" s="692"/>
      <c r="JTT4739" s="695"/>
      <c r="JTU4739" s="692"/>
      <c r="JTV4739" s="695"/>
      <c r="JTW4739" s="692"/>
      <c r="JTX4739" s="695"/>
      <c r="JTY4739" s="692"/>
      <c r="JTZ4739" s="695"/>
      <c r="JUA4739" s="692"/>
      <c r="JUB4739" s="695"/>
      <c r="JUC4739" s="692"/>
      <c r="JUD4739" s="695"/>
      <c r="JUE4739" s="692"/>
      <c r="JUF4739" s="695"/>
      <c r="JUG4739" s="692"/>
      <c r="JUH4739" s="695"/>
      <c r="JUI4739" s="692"/>
      <c r="JUJ4739" s="695"/>
      <c r="JUK4739" s="692"/>
      <c r="JUL4739" s="695"/>
      <c r="JUM4739" s="692"/>
      <c r="JUN4739" s="695"/>
      <c r="JUO4739" s="692"/>
      <c r="JUP4739" s="695"/>
      <c r="JUQ4739" s="692"/>
      <c r="JUR4739" s="695"/>
      <c r="JUS4739" s="692"/>
      <c r="JUT4739" s="695"/>
      <c r="JUU4739" s="692"/>
      <c r="JUV4739" s="695"/>
      <c r="JUW4739" s="692"/>
      <c r="JUX4739" s="695"/>
      <c r="JUY4739" s="692"/>
      <c r="JUZ4739" s="695"/>
      <c r="JVA4739" s="692"/>
      <c r="JVB4739" s="695"/>
      <c r="JVC4739" s="692"/>
      <c r="JVD4739" s="695"/>
      <c r="JVE4739" s="692"/>
      <c r="JVF4739" s="695"/>
      <c r="JVG4739" s="692"/>
      <c r="JVH4739" s="695"/>
      <c r="JVI4739" s="692"/>
      <c r="JVJ4739" s="695"/>
      <c r="JVK4739" s="692"/>
      <c r="JVL4739" s="695"/>
      <c r="JVM4739" s="692"/>
      <c r="JVN4739" s="695"/>
      <c r="JVO4739" s="692"/>
      <c r="JVP4739" s="695"/>
      <c r="JVQ4739" s="692"/>
      <c r="JVR4739" s="695"/>
      <c r="JVS4739" s="692"/>
      <c r="JVT4739" s="695"/>
      <c r="JVU4739" s="692"/>
      <c r="JVV4739" s="695"/>
      <c r="JVW4739" s="692"/>
      <c r="JVX4739" s="695"/>
      <c r="JVY4739" s="692"/>
      <c r="JVZ4739" s="695"/>
      <c r="JWA4739" s="692"/>
      <c r="JWB4739" s="695"/>
      <c r="JWC4739" s="692"/>
      <c r="JWD4739" s="695"/>
      <c r="JWE4739" s="692"/>
      <c r="JWF4739" s="695"/>
      <c r="JWG4739" s="692"/>
      <c r="JWH4739" s="695"/>
      <c r="JWI4739" s="692"/>
      <c r="JWJ4739" s="695"/>
      <c r="JWK4739" s="692"/>
      <c r="JWL4739" s="695"/>
      <c r="JWM4739" s="692"/>
      <c r="JWN4739" s="695"/>
      <c r="JWO4739" s="692"/>
      <c r="JWP4739" s="695"/>
      <c r="JWQ4739" s="692"/>
      <c r="JWR4739" s="695"/>
      <c r="JWS4739" s="692"/>
      <c r="JWT4739" s="695"/>
      <c r="JWU4739" s="692"/>
      <c r="JWV4739" s="695"/>
      <c r="JWW4739" s="692"/>
      <c r="JWX4739" s="695"/>
      <c r="JWY4739" s="692"/>
      <c r="JWZ4739" s="695"/>
      <c r="JXA4739" s="692"/>
      <c r="JXB4739" s="695"/>
      <c r="JXC4739" s="692"/>
      <c r="JXD4739" s="695"/>
      <c r="JXE4739" s="692"/>
      <c r="JXF4739" s="695"/>
      <c r="JXG4739" s="692"/>
      <c r="JXH4739" s="695"/>
      <c r="JXI4739" s="692"/>
      <c r="JXJ4739" s="695"/>
      <c r="JXK4739" s="692"/>
      <c r="JXL4739" s="695"/>
      <c r="JXM4739" s="692"/>
      <c r="JXN4739" s="695"/>
      <c r="JXO4739" s="692"/>
      <c r="JXP4739" s="695"/>
      <c r="JXQ4739" s="692"/>
      <c r="JXR4739" s="695"/>
      <c r="JXS4739" s="692"/>
      <c r="JXT4739" s="695"/>
      <c r="JXU4739" s="692"/>
      <c r="JXV4739" s="695"/>
      <c r="JXW4739" s="692"/>
      <c r="JXX4739" s="695"/>
      <c r="JXY4739" s="692"/>
      <c r="JXZ4739" s="695"/>
      <c r="JYA4739" s="692"/>
      <c r="JYB4739" s="695"/>
      <c r="JYC4739" s="692"/>
      <c r="JYD4739" s="695"/>
      <c r="JYE4739" s="692"/>
      <c r="JYF4739" s="695"/>
      <c r="JYG4739" s="692"/>
      <c r="JYH4739" s="695"/>
      <c r="JYI4739" s="692"/>
      <c r="JYJ4739" s="695"/>
      <c r="JYK4739" s="692"/>
      <c r="JYL4739" s="695"/>
      <c r="JYM4739" s="692"/>
      <c r="JYN4739" s="695"/>
      <c r="JYO4739" s="692"/>
      <c r="JYP4739" s="695"/>
      <c r="JYQ4739" s="692"/>
      <c r="JYR4739" s="695"/>
      <c r="JYS4739" s="692"/>
      <c r="JYT4739" s="695"/>
      <c r="JYU4739" s="692"/>
      <c r="JYV4739" s="695"/>
      <c r="JYW4739" s="692"/>
      <c r="JYX4739" s="695"/>
      <c r="JYY4739" s="692"/>
      <c r="JYZ4739" s="695"/>
      <c r="JZA4739" s="692"/>
      <c r="JZB4739" s="695"/>
      <c r="JZC4739" s="692"/>
      <c r="JZD4739" s="695"/>
      <c r="JZE4739" s="692"/>
      <c r="JZF4739" s="695"/>
      <c r="JZG4739" s="692"/>
      <c r="JZH4739" s="695"/>
      <c r="JZI4739" s="692"/>
      <c r="JZJ4739" s="695"/>
      <c r="JZK4739" s="692"/>
      <c r="JZL4739" s="695"/>
      <c r="JZM4739" s="692"/>
      <c r="JZN4739" s="695"/>
      <c r="JZO4739" s="692"/>
      <c r="JZP4739" s="695"/>
      <c r="JZQ4739" s="692"/>
      <c r="JZR4739" s="695"/>
      <c r="JZS4739" s="692"/>
      <c r="JZT4739" s="695"/>
      <c r="JZU4739" s="692"/>
      <c r="JZV4739" s="695"/>
      <c r="JZW4739" s="692"/>
      <c r="JZX4739" s="695"/>
      <c r="JZY4739" s="692"/>
      <c r="JZZ4739" s="695"/>
      <c r="KAA4739" s="692"/>
      <c r="KAB4739" s="695"/>
      <c r="KAC4739" s="692"/>
      <c r="KAD4739" s="695"/>
      <c r="KAE4739" s="692"/>
      <c r="KAF4739" s="695"/>
      <c r="KAG4739" s="692"/>
      <c r="KAH4739" s="695"/>
      <c r="KAI4739" s="692"/>
      <c r="KAJ4739" s="695"/>
      <c r="KAK4739" s="692"/>
      <c r="KAL4739" s="695"/>
      <c r="KAM4739" s="692"/>
      <c r="KAN4739" s="695"/>
      <c r="KAO4739" s="692"/>
      <c r="KAP4739" s="695"/>
      <c r="KAQ4739" s="692"/>
      <c r="KAR4739" s="695"/>
      <c r="KAS4739" s="692"/>
      <c r="KAT4739" s="695"/>
      <c r="KAU4739" s="692"/>
      <c r="KAV4739" s="695"/>
      <c r="KAW4739" s="692"/>
      <c r="KAX4739" s="695"/>
      <c r="KAY4739" s="692"/>
      <c r="KAZ4739" s="695"/>
      <c r="KBA4739" s="692"/>
      <c r="KBB4739" s="695"/>
      <c r="KBC4739" s="692"/>
      <c r="KBD4739" s="695"/>
      <c r="KBE4739" s="692"/>
      <c r="KBF4739" s="695"/>
      <c r="KBG4739" s="692"/>
      <c r="KBH4739" s="695"/>
      <c r="KBI4739" s="692"/>
      <c r="KBJ4739" s="695"/>
      <c r="KBK4739" s="692"/>
      <c r="KBL4739" s="695"/>
      <c r="KBM4739" s="692"/>
      <c r="KBN4739" s="695"/>
      <c r="KBO4739" s="692"/>
      <c r="KBP4739" s="695"/>
      <c r="KBQ4739" s="692"/>
      <c r="KBR4739" s="695"/>
      <c r="KBS4739" s="692"/>
      <c r="KBT4739" s="695"/>
      <c r="KBU4739" s="692"/>
      <c r="KBV4739" s="695"/>
      <c r="KBW4739" s="692"/>
      <c r="KBX4739" s="695"/>
      <c r="KBY4739" s="692"/>
      <c r="KBZ4739" s="695"/>
      <c r="KCA4739" s="692"/>
      <c r="KCB4739" s="695"/>
      <c r="KCC4739" s="692"/>
      <c r="KCD4739" s="695"/>
      <c r="KCE4739" s="692"/>
      <c r="KCF4739" s="695"/>
      <c r="KCG4739" s="692"/>
      <c r="KCH4739" s="695"/>
      <c r="KCI4739" s="692"/>
      <c r="KCJ4739" s="695"/>
      <c r="KCK4739" s="692"/>
      <c r="KCL4739" s="695"/>
      <c r="KCM4739" s="692"/>
      <c r="KCN4739" s="695"/>
      <c r="KCO4739" s="692"/>
      <c r="KCP4739" s="695"/>
      <c r="KCQ4739" s="692"/>
      <c r="KCR4739" s="695"/>
      <c r="KCS4739" s="692"/>
      <c r="KCT4739" s="695"/>
      <c r="KCU4739" s="692"/>
      <c r="KCV4739" s="695"/>
      <c r="KCW4739" s="692"/>
      <c r="KCX4739" s="695"/>
      <c r="KCY4739" s="692"/>
      <c r="KCZ4739" s="695"/>
      <c r="KDA4739" s="692"/>
      <c r="KDB4739" s="695"/>
      <c r="KDC4739" s="692"/>
      <c r="KDD4739" s="695"/>
      <c r="KDE4739" s="692"/>
      <c r="KDF4739" s="695"/>
      <c r="KDG4739" s="692"/>
      <c r="KDH4739" s="695"/>
      <c r="KDI4739" s="692"/>
      <c r="KDJ4739" s="695"/>
      <c r="KDK4739" s="692"/>
      <c r="KDL4739" s="695"/>
      <c r="KDM4739" s="692"/>
      <c r="KDN4739" s="695"/>
      <c r="KDO4739" s="692"/>
      <c r="KDP4739" s="695"/>
      <c r="KDQ4739" s="692"/>
      <c r="KDR4739" s="695"/>
      <c r="KDS4739" s="692"/>
      <c r="KDT4739" s="695"/>
      <c r="KDU4739" s="692"/>
      <c r="KDV4739" s="695"/>
      <c r="KDW4739" s="692"/>
      <c r="KDX4739" s="695"/>
      <c r="KDY4739" s="692"/>
      <c r="KDZ4739" s="695"/>
      <c r="KEA4739" s="692"/>
      <c r="KEB4739" s="695"/>
      <c r="KEC4739" s="692"/>
      <c r="KED4739" s="695"/>
      <c r="KEE4739" s="692"/>
      <c r="KEF4739" s="695"/>
      <c r="KEG4739" s="692"/>
      <c r="KEH4739" s="695"/>
      <c r="KEI4739" s="692"/>
      <c r="KEJ4739" s="695"/>
      <c r="KEK4739" s="692"/>
      <c r="KEL4739" s="695"/>
      <c r="KEM4739" s="692"/>
      <c r="KEN4739" s="695"/>
      <c r="KEO4739" s="692"/>
      <c r="KEP4739" s="695"/>
      <c r="KEQ4739" s="692"/>
      <c r="KER4739" s="695"/>
      <c r="KES4739" s="692"/>
      <c r="KET4739" s="695"/>
      <c r="KEU4739" s="692"/>
      <c r="KEV4739" s="695"/>
      <c r="KEW4739" s="692"/>
      <c r="KEX4739" s="695"/>
      <c r="KEY4739" s="692"/>
      <c r="KEZ4739" s="695"/>
      <c r="KFA4739" s="692"/>
      <c r="KFB4739" s="695"/>
      <c r="KFC4739" s="692"/>
      <c r="KFD4739" s="695"/>
      <c r="KFE4739" s="692"/>
      <c r="KFF4739" s="695"/>
      <c r="KFG4739" s="692"/>
      <c r="KFH4739" s="695"/>
      <c r="KFI4739" s="692"/>
      <c r="KFJ4739" s="695"/>
      <c r="KFK4739" s="692"/>
      <c r="KFL4739" s="695"/>
      <c r="KFM4739" s="692"/>
      <c r="KFN4739" s="695"/>
      <c r="KFO4739" s="692"/>
      <c r="KFP4739" s="695"/>
      <c r="KFQ4739" s="692"/>
      <c r="KFR4739" s="695"/>
      <c r="KFS4739" s="692"/>
      <c r="KFT4739" s="695"/>
      <c r="KFU4739" s="692"/>
      <c r="KFV4739" s="695"/>
      <c r="KFW4739" s="692"/>
      <c r="KFX4739" s="695"/>
      <c r="KFY4739" s="692"/>
      <c r="KFZ4739" s="695"/>
      <c r="KGA4739" s="692"/>
      <c r="KGB4739" s="695"/>
      <c r="KGC4739" s="692"/>
      <c r="KGD4739" s="695"/>
      <c r="KGE4739" s="692"/>
      <c r="KGF4739" s="695"/>
      <c r="KGG4739" s="692"/>
      <c r="KGH4739" s="695"/>
      <c r="KGI4739" s="692"/>
      <c r="KGJ4739" s="695"/>
      <c r="KGK4739" s="692"/>
      <c r="KGL4739" s="695"/>
      <c r="KGM4739" s="692"/>
      <c r="KGN4739" s="695"/>
      <c r="KGO4739" s="692"/>
      <c r="KGP4739" s="695"/>
      <c r="KGQ4739" s="692"/>
      <c r="KGR4739" s="695"/>
      <c r="KGS4739" s="692"/>
      <c r="KGT4739" s="695"/>
      <c r="KGU4739" s="692"/>
      <c r="KGV4739" s="695"/>
      <c r="KGW4739" s="692"/>
      <c r="KGX4739" s="695"/>
      <c r="KGY4739" s="692"/>
      <c r="KGZ4739" s="695"/>
      <c r="KHA4739" s="692"/>
      <c r="KHB4739" s="695"/>
      <c r="KHC4739" s="692"/>
      <c r="KHD4739" s="695"/>
      <c r="KHE4739" s="692"/>
      <c r="KHF4739" s="695"/>
      <c r="KHG4739" s="692"/>
      <c r="KHH4739" s="695"/>
      <c r="KHI4739" s="692"/>
      <c r="KHJ4739" s="695"/>
      <c r="KHK4739" s="692"/>
      <c r="KHL4739" s="695"/>
      <c r="KHM4739" s="692"/>
      <c r="KHN4739" s="695"/>
      <c r="KHO4739" s="692"/>
      <c r="KHP4739" s="695"/>
      <c r="KHQ4739" s="692"/>
      <c r="KHR4739" s="695"/>
      <c r="KHS4739" s="692"/>
      <c r="KHT4739" s="695"/>
      <c r="KHU4739" s="692"/>
      <c r="KHV4739" s="695"/>
      <c r="KHW4739" s="692"/>
      <c r="KHX4739" s="695"/>
      <c r="KHY4739" s="692"/>
      <c r="KHZ4739" s="695"/>
      <c r="KIA4739" s="692"/>
      <c r="KIB4739" s="695"/>
      <c r="KIC4739" s="692"/>
      <c r="KID4739" s="695"/>
      <c r="KIE4739" s="692"/>
      <c r="KIF4739" s="695"/>
      <c r="KIG4739" s="692"/>
      <c r="KIH4739" s="695"/>
      <c r="KII4739" s="692"/>
      <c r="KIJ4739" s="695"/>
      <c r="KIK4739" s="692"/>
      <c r="KIL4739" s="695"/>
      <c r="KIM4739" s="692"/>
      <c r="KIN4739" s="695"/>
      <c r="KIO4739" s="692"/>
      <c r="KIP4739" s="695"/>
      <c r="KIQ4739" s="692"/>
      <c r="KIR4739" s="695"/>
      <c r="KIS4739" s="692"/>
      <c r="KIT4739" s="695"/>
      <c r="KIU4739" s="692"/>
      <c r="KIV4739" s="695"/>
      <c r="KIW4739" s="692"/>
      <c r="KIX4739" s="695"/>
      <c r="KIY4739" s="692"/>
      <c r="KIZ4739" s="695"/>
      <c r="KJA4739" s="692"/>
      <c r="KJB4739" s="695"/>
      <c r="KJC4739" s="692"/>
      <c r="KJD4739" s="695"/>
      <c r="KJE4739" s="692"/>
      <c r="KJF4739" s="695"/>
      <c r="KJG4739" s="692"/>
      <c r="KJH4739" s="695"/>
      <c r="KJI4739" s="692"/>
      <c r="KJJ4739" s="695"/>
      <c r="KJK4739" s="692"/>
      <c r="KJL4739" s="695"/>
      <c r="KJM4739" s="692"/>
      <c r="KJN4739" s="695"/>
      <c r="KJO4739" s="692"/>
      <c r="KJP4739" s="695"/>
      <c r="KJQ4739" s="692"/>
      <c r="KJR4739" s="695"/>
      <c r="KJS4739" s="692"/>
      <c r="KJT4739" s="695"/>
      <c r="KJU4739" s="692"/>
      <c r="KJV4739" s="695"/>
      <c r="KJW4739" s="692"/>
      <c r="KJX4739" s="695"/>
      <c r="KJY4739" s="692"/>
      <c r="KJZ4739" s="695"/>
      <c r="KKA4739" s="692"/>
      <c r="KKB4739" s="695"/>
      <c r="KKC4739" s="692"/>
      <c r="KKD4739" s="695"/>
      <c r="KKE4739" s="692"/>
      <c r="KKF4739" s="695"/>
      <c r="KKG4739" s="692"/>
      <c r="KKH4739" s="695"/>
      <c r="KKI4739" s="692"/>
      <c r="KKJ4739" s="695"/>
      <c r="KKK4739" s="692"/>
      <c r="KKL4739" s="695"/>
      <c r="KKM4739" s="692"/>
      <c r="KKN4739" s="695"/>
      <c r="KKO4739" s="692"/>
      <c r="KKP4739" s="695"/>
      <c r="KKQ4739" s="692"/>
      <c r="KKR4739" s="695"/>
      <c r="KKS4739" s="692"/>
      <c r="KKT4739" s="695"/>
      <c r="KKU4739" s="692"/>
      <c r="KKV4739" s="695"/>
      <c r="KKW4739" s="692"/>
      <c r="KKX4739" s="695"/>
      <c r="KKY4739" s="692"/>
      <c r="KKZ4739" s="695"/>
      <c r="KLA4739" s="692"/>
      <c r="KLB4739" s="695"/>
      <c r="KLC4739" s="692"/>
      <c r="KLD4739" s="695"/>
      <c r="KLE4739" s="692"/>
      <c r="KLF4739" s="695"/>
      <c r="KLG4739" s="692"/>
      <c r="KLH4739" s="695"/>
      <c r="KLI4739" s="692"/>
      <c r="KLJ4739" s="695"/>
      <c r="KLK4739" s="692"/>
      <c r="KLL4739" s="695"/>
      <c r="KLM4739" s="692"/>
      <c r="KLN4739" s="695"/>
      <c r="KLO4739" s="692"/>
      <c r="KLP4739" s="695"/>
      <c r="KLQ4739" s="692"/>
      <c r="KLR4739" s="695"/>
      <c r="KLS4739" s="692"/>
      <c r="KLT4739" s="695"/>
      <c r="KLU4739" s="692"/>
      <c r="KLV4739" s="695"/>
      <c r="KLW4739" s="692"/>
      <c r="KLX4739" s="695"/>
      <c r="KLY4739" s="692"/>
      <c r="KLZ4739" s="695"/>
      <c r="KMA4739" s="692"/>
      <c r="KMB4739" s="695"/>
      <c r="KMC4739" s="692"/>
      <c r="KMD4739" s="695"/>
      <c r="KME4739" s="692"/>
      <c r="KMF4739" s="695"/>
      <c r="KMG4739" s="692"/>
      <c r="KMH4739" s="695"/>
      <c r="KMI4739" s="692"/>
      <c r="KMJ4739" s="695"/>
      <c r="KMK4739" s="692"/>
      <c r="KML4739" s="695"/>
      <c r="KMM4739" s="692"/>
      <c r="KMN4739" s="695"/>
      <c r="KMO4739" s="692"/>
      <c r="KMP4739" s="695"/>
      <c r="KMQ4739" s="692"/>
      <c r="KMR4739" s="695"/>
      <c r="KMS4739" s="692"/>
      <c r="KMT4739" s="695"/>
      <c r="KMU4739" s="692"/>
      <c r="KMV4739" s="695"/>
      <c r="KMW4739" s="692"/>
      <c r="KMX4739" s="695"/>
      <c r="KMY4739" s="692"/>
      <c r="KMZ4739" s="695"/>
      <c r="KNA4739" s="692"/>
      <c r="KNB4739" s="695"/>
      <c r="KNC4739" s="692"/>
      <c r="KND4739" s="695"/>
      <c r="KNE4739" s="692"/>
      <c r="KNF4739" s="695"/>
      <c r="KNG4739" s="692"/>
      <c r="KNH4739" s="695"/>
      <c r="KNI4739" s="692"/>
      <c r="KNJ4739" s="695"/>
      <c r="KNK4739" s="692"/>
      <c r="KNL4739" s="695"/>
      <c r="KNM4739" s="692"/>
      <c r="KNN4739" s="695"/>
      <c r="KNO4739" s="692"/>
      <c r="KNP4739" s="695"/>
      <c r="KNQ4739" s="692"/>
      <c r="KNR4739" s="695"/>
      <c r="KNS4739" s="692"/>
      <c r="KNT4739" s="695"/>
      <c r="KNU4739" s="692"/>
      <c r="KNV4739" s="695"/>
      <c r="KNW4739" s="692"/>
      <c r="KNX4739" s="695"/>
      <c r="KNY4739" s="692"/>
      <c r="KNZ4739" s="695"/>
      <c r="KOA4739" s="692"/>
      <c r="KOB4739" s="695"/>
      <c r="KOC4739" s="692"/>
      <c r="KOD4739" s="695"/>
      <c r="KOE4739" s="692"/>
      <c r="KOF4739" s="695"/>
      <c r="KOG4739" s="692"/>
      <c r="KOH4739" s="695"/>
      <c r="KOI4739" s="692"/>
      <c r="KOJ4739" s="695"/>
      <c r="KOK4739" s="692"/>
      <c r="KOL4739" s="695"/>
      <c r="KOM4739" s="692"/>
      <c r="KON4739" s="695"/>
      <c r="KOO4739" s="692"/>
      <c r="KOP4739" s="695"/>
      <c r="KOQ4739" s="692"/>
      <c r="KOR4739" s="695"/>
      <c r="KOS4739" s="692"/>
      <c r="KOT4739" s="695"/>
      <c r="KOU4739" s="692"/>
      <c r="KOV4739" s="695"/>
      <c r="KOW4739" s="692"/>
      <c r="KOX4739" s="695"/>
      <c r="KOY4739" s="692"/>
      <c r="KOZ4739" s="695"/>
      <c r="KPA4739" s="692"/>
      <c r="KPB4739" s="695"/>
      <c r="KPC4739" s="692"/>
      <c r="KPD4739" s="695"/>
      <c r="KPE4739" s="692"/>
      <c r="KPF4739" s="695"/>
      <c r="KPG4739" s="692"/>
      <c r="KPH4739" s="695"/>
      <c r="KPI4739" s="692"/>
      <c r="KPJ4739" s="695"/>
      <c r="KPK4739" s="692"/>
      <c r="KPL4739" s="695"/>
      <c r="KPM4739" s="692"/>
      <c r="KPN4739" s="695"/>
      <c r="KPO4739" s="692"/>
      <c r="KPP4739" s="695"/>
      <c r="KPQ4739" s="692"/>
      <c r="KPR4739" s="695"/>
      <c r="KPS4739" s="692"/>
      <c r="KPT4739" s="695"/>
      <c r="KPU4739" s="692"/>
      <c r="KPV4739" s="695"/>
      <c r="KPW4739" s="692"/>
      <c r="KPX4739" s="695"/>
      <c r="KPY4739" s="692"/>
      <c r="KPZ4739" s="695"/>
      <c r="KQA4739" s="692"/>
      <c r="KQB4739" s="695"/>
      <c r="KQC4739" s="692"/>
      <c r="KQD4739" s="695"/>
      <c r="KQE4739" s="692"/>
      <c r="KQF4739" s="695"/>
      <c r="KQG4739" s="692"/>
      <c r="KQH4739" s="695"/>
      <c r="KQI4739" s="692"/>
      <c r="KQJ4739" s="695"/>
      <c r="KQK4739" s="692"/>
      <c r="KQL4739" s="695"/>
      <c r="KQM4739" s="692"/>
      <c r="KQN4739" s="695"/>
      <c r="KQO4739" s="692"/>
      <c r="KQP4739" s="695"/>
      <c r="KQQ4739" s="692"/>
      <c r="KQR4739" s="695"/>
      <c r="KQS4739" s="692"/>
      <c r="KQT4739" s="695"/>
      <c r="KQU4739" s="692"/>
      <c r="KQV4739" s="695"/>
      <c r="KQW4739" s="692"/>
      <c r="KQX4739" s="695"/>
      <c r="KQY4739" s="692"/>
      <c r="KQZ4739" s="695"/>
      <c r="KRA4739" s="692"/>
      <c r="KRB4739" s="695"/>
      <c r="KRC4739" s="692"/>
      <c r="KRD4739" s="695"/>
      <c r="KRE4739" s="692"/>
      <c r="KRF4739" s="695"/>
      <c r="KRG4739" s="692"/>
      <c r="KRH4739" s="695"/>
      <c r="KRI4739" s="692"/>
      <c r="KRJ4739" s="695"/>
      <c r="KRK4739" s="692"/>
      <c r="KRL4739" s="695"/>
      <c r="KRM4739" s="692"/>
      <c r="KRN4739" s="695"/>
      <c r="KRO4739" s="692"/>
      <c r="KRP4739" s="695"/>
      <c r="KRQ4739" s="692"/>
      <c r="KRR4739" s="695"/>
      <c r="KRS4739" s="692"/>
      <c r="KRT4739" s="695"/>
      <c r="KRU4739" s="692"/>
      <c r="KRV4739" s="695"/>
      <c r="KRW4739" s="692"/>
      <c r="KRX4739" s="695"/>
      <c r="KRY4739" s="692"/>
      <c r="KRZ4739" s="695"/>
      <c r="KSA4739" s="692"/>
      <c r="KSB4739" s="695"/>
      <c r="KSC4739" s="692"/>
      <c r="KSD4739" s="695"/>
      <c r="KSE4739" s="692"/>
      <c r="KSF4739" s="695"/>
      <c r="KSG4739" s="692"/>
      <c r="KSH4739" s="695"/>
      <c r="KSI4739" s="692"/>
      <c r="KSJ4739" s="695"/>
      <c r="KSK4739" s="692"/>
      <c r="KSL4739" s="695"/>
      <c r="KSM4739" s="692"/>
      <c r="KSN4739" s="695"/>
      <c r="KSO4739" s="692"/>
      <c r="KSP4739" s="695"/>
      <c r="KSQ4739" s="692"/>
      <c r="KSR4739" s="695"/>
      <c r="KSS4739" s="692"/>
      <c r="KST4739" s="695"/>
      <c r="KSU4739" s="692"/>
      <c r="KSV4739" s="695"/>
      <c r="KSW4739" s="692"/>
      <c r="KSX4739" s="695"/>
      <c r="KSY4739" s="692"/>
      <c r="KSZ4739" s="695"/>
      <c r="KTA4739" s="692"/>
      <c r="KTB4739" s="695"/>
      <c r="KTC4739" s="692"/>
      <c r="KTD4739" s="695"/>
      <c r="KTE4739" s="692"/>
      <c r="KTF4739" s="695"/>
      <c r="KTG4739" s="692"/>
      <c r="KTH4739" s="695"/>
      <c r="KTI4739" s="692"/>
      <c r="KTJ4739" s="695"/>
      <c r="KTK4739" s="692"/>
      <c r="KTL4739" s="695"/>
      <c r="KTM4739" s="692"/>
      <c r="KTN4739" s="695"/>
      <c r="KTO4739" s="692"/>
      <c r="KTP4739" s="695"/>
      <c r="KTQ4739" s="692"/>
      <c r="KTR4739" s="695"/>
      <c r="KTS4739" s="692"/>
      <c r="KTT4739" s="695"/>
      <c r="KTU4739" s="692"/>
      <c r="KTV4739" s="695"/>
      <c r="KTW4739" s="692"/>
      <c r="KTX4739" s="695"/>
      <c r="KTY4739" s="692"/>
      <c r="KTZ4739" s="695"/>
      <c r="KUA4739" s="692"/>
      <c r="KUB4739" s="695"/>
      <c r="KUC4739" s="692"/>
      <c r="KUD4739" s="695"/>
      <c r="KUE4739" s="692"/>
      <c r="KUF4739" s="695"/>
      <c r="KUG4739" s="692"/>
      <c r="KUH4739" s="695"/>
      <c r="KUI4739" s="692"/>
      <c r="KUJ4739" s="695"/>
      <c r="KUK4739" s="692"/>
      <c r="KUL4739" s="695"/>
      <c r="KUM4739" s="692"/>
      <c r="KUN4739" s="695"/>
      <c r="KUO4739" s="692"/>
      <c r="KUP4739" s="695"/>
      <c r="KUQ4739" s="692"/>
      <c r="KUR4739" s="695"/>
      <c r="KUS4739" s="692"/>
      <c r="KUT4739" s="695"/>
      <c r="KUU4739" s="692"/>
      <c r="KUV4739" s="695"/>
      <c r="KUW4739" s="692"/>
      <c r="KUX4739" s="695"/>
      <c r="KUY4739" s="692"/>
      <c r="KUZ4739" s="695"/>
      <c r="KVA4739" s="692"/>
      <c r="KVB4739" s="695"/>
      <c r="KVC4739" s="692"/>
      <c r="KVD4739" s="695"/>
      <c r="KVE4739" s="692"/>
      <c r="KVF4739" s="695"/>
      <c r="KVG4739" s="692"/>
      <c r="KVH4739" s="695"/>
      <c r="KVI4739" s="692"/>
      <c r="KVJ4739" s="695"/>
      <c r="KVK4739" s="692"/>
      <c r="KVL4739" s="695"/>
      <c r="KVM4739" s="692"/>
      <c r="KVN4739" s="695"/>
      <c r="KVO4739" s="692"/>
      <c r="KVP4739" s="695"/>
      <c r="KVQ4739" s="692"/>
      <c r="KVR4739" s="695"/>
      <c r="KVS4739" s="692"/>
      <c r="KVT4739" s="695"/>
      <c r="KVU4739" s="692"/>
      <c r="KVV4739" s="695"/>
      <c r="KVW4739" s="692"/>
      <c r="KVX4739" s="695"/>
      <c r="KVY4739" s="692"/>
      <c r="KVZ4739" s="695"/>
      <c r="KWA4739" s="692"/>
      <c r="KWB4739" s="695"/>
      <c r="KWC4739" s="692"/>
      <c r="KWD4739" s="695"/>
      <c r="KWE4739" s="692"/>
      <c r="KWF4739" s="695"/>
      <c r="KWG4739" s="692"/>
      <c r="KWH4739" s="695"/>
      <c r="KWI4739" s="692"/>
      <c r="KWJ4739" s="695"/>
      <c r="KWK4739" s="692"/>
      <c r="KWL4739" s="695"/>
      <c r="KWM4739" s="692"/>
      <c r="KWN4739" s="695"/>
      <c r="KWO4739" s="692"/>
      <c r="KWP4739" s="695"/>
      <c r="KWQ4739" s="692"/>
      <c r="KWR4739" s="695"/>
      <c r="KWS4739" s="692"/>
      <c r="KWT4739" s="695"/>
      <c r="KWU4739" s="692"/>
      <c r="KWV4739" s="695"/>
      <c r="KWW4739" s="692"/>
      <c r="KWX4739" s="695"/>
      <c r="KWY4739" s="692"/>
      <c r="KWZ4739" s="695"/>
      <c r="KXA4739" s="692"/>
      <c r="KXB4739" s="695"/>
      <c r="KXC4739" s="692"/>
      <c r="KXD4739" s="695"/>
      <c r="KXE4739" s="692"/>
      <c r="KXF4739" s="695"/>
      <c r="KXG4739" s="692"/>
      <c r="KXH4739" s="695"/>
      <c r="KXI4739" s="692"/>
      <c r="KXJ4739" s="695"/>
      <c r="KXK4739" s="692"/>
      <c r="KXL4739" s="695"/>
      <c r="KXM4739" s="692"/>
      <c r="KXN4739" s="695"/>
      <c r="KXO4739" s="692"/>
      <c r="KXP4739" s="695"/>
      <c r="KXQ4739" s="692"/>
      <c r="KXR4739" s="695"/>
      <c r="KXS4739" s="692"/>
      <c r="KXT4739" s="695"/>
      <c r="KXU4739" s="692"/>
      <c r="KXV4739" s="695"/>
      <c r="KXW4739" s="692"/>
      <c r="KXX4739" s="695"/>
      <c r="KXY4739" s="692"/>
      <c r="KXZ4739" s="695"/>
      <c r="KYA4739" s="692"/>
      <c r="KYB4739" s="695"/>
      <c r="KYC4739" s="692"/>
      <c r="KYD4739" s="695"/>
      <c r="KYE4739" s="692"/>
      <c r="KYF4739" s="695"/>
      <c r="KYG4739" s="692"/>
      <c r="KYH4739" s="695"/>
      <c r="KYI4739" s="692"/>
      <c r="KYJ4739" s="695"/>
      <c r="KYK4739" s="692"/>
      <c r="KYL4739" s="695"/>
      <c r="KYM4739" s="692"/>
      <c r="KYN4739" s="695"/>
      <c r="KYO4739" s="692"/>
      <c r="KYP4739" s="695"/>
      <c r="KYQ4739" s="692"/>
      <c r="KYR4739" s="695"/>
      <c r="KYS4739" s="692"/>
      <c r="KYT4739" s="695"/>
      <c r="KYU4739" s="692"/>
      <c r="KYV4739" s="695"/>
      <c r="KYW4739" s="692"/>
      <c r="KYX4739" s="695"/>
      <c r="KYY4739" s="692"/>
      <c r="KYZ4739" s="695"/>
      <c r="KZA4739" s="692"/>
      <c r="KZB4739" s="695"/>
      <c r="KZC4739" s="692"/>
      <c r="KZD4739" s="695"/>
      <c r="KZE4739" s="692"/>
      <c r="KZF4739" s="695"/>
      <c r="KZG4739" s="692"/>
      <c r="KZH4739" s="695"/>
      <c r="KZI4739" s="692"/>
      <c r="KZJ4739" s="695"/>
      <c r="KZK4739" s="692"/>
      <c r="KZL4739" s="695"/>
      <c r="KZM4739" s="692"/>
      <c r="KZN4739" s="695"/>
      <c r="KZO4739" s="692"/>
      <c r="KZP4739" s="695"/>
      <c r="KZQ4739" s="692"/>
      <c r="KZR4739" s="695"/>
      <c r="KZS4739" s="692"/>
      <c r="KZT4739" s="695"/>
      <c r="KZU4739" s="692"/>
      <c r="KZV4739" s="695"/>
      <c r="KZW4739" s="692"/>
      <c r="KZX4739" s="695"/>
      <c r="KZY4739" s="692"/>
      <c r="KZZ4739" s="695"/>
      <c r="LAA4739" s="692"/>
      <c r="LAB4739" s="695"/>
      <c r="LAC4739" s="692"/>
      <c r="LAD4739" s="695"/>
      <c r="LAE4739" s="692"/>
      <c r="LAF4739" s="695"/>
      <c r="LAG4739" s="692"/>
      <c r="LAH4739" s="695"/>
      <c r="LAI4739" s="692"/>
      <c r="LAJ4739" s="695"/>
      <c r="LAK4739" s="692"/>
      <c r="LAL4739" s="695"/>
      <c r="LAM4739" s="692"/>
      <c r="LAN4739" s="695"/>
      <c r="LAO4739" s="692"/>
      <c r="LAP4739" s="695"/>
      <c r="LAQ4739" s="692"/>
      <c r="LAR4739" s="695"/>
      <c r="LAS4739" s="692"/>
      <c r="LAT4739" s="695"/>
      <c r="LAU4739" s="692"/>
      <c r="LAV4739" s="695"/>
      <c r="LAW4739" s="692"/>
      <c r="LAX4739" s="695"/>
      <c r="LAY4739" s="692"/>
      <c r="LAZ4739" s="695"/>
      <c r="LBA4739" s="692"/>
      <c r="LBB4739" s="695"/>
      <c r="LBC4739" s="692"/>
      <c r="LBD4739" s="695"/>
      <c r="LBE4739" s="692"/>
      <c r="LBF4739" s="695"/>
      <c r="LBG4739" s="692"/>
      <c r="LBH4739" s="695"/>
      <c r="LBI4739" s="692"/>
      <c r="LBJ4739" s="695"/>
      <c r="LBK4739" s="692"/>
      <c r="LBL4739" s="695"/>
      <c r="LBM4739" s="692"/>
      <c r="LBN4739" s="695"/>
      <c r="LBO4739" s="692"/>
      <c r="LBP4739" s="695"/>
      <c r="LBQ4739" s="692"/>
      <c r="LBR4739" s="695"/>
      <c r="LBS4739" s="692"/>
      <c r="LBT4739" s="695"/>
      <c r="LBU4739" s="692"/>
      <c r="LBV4739" s="695"/>
      <c r="LBW4739" s="692"/>
      <c r="LBX4739" s="695"/>
      <c r="LBY4739" s="692"/>
      <c r="LBZ4739" s="695"/>
      <c r="LCA4739" s="692"/>
      <c r="LCB4739" s="695"/>
      <c r="LCC4739" s="692"/>
      <c r="LCD4739" s="695"/>
      <c r="LCE4739" s="692"/>
      <c r="LCF4739" s="695"/>
      <c r="LCG4739" s="692"/>
      <c r="LCH4739" s="695"/>
      <c r="LCI4739" s="692"/>
      <c r="LCJ4739" s="695"/>
      <c r="LCK4739" s="692"/>
      <c r="LCL4739" s="695"/>
      <c r="LCM4739" s="692"/>
      <c r="LCN4739" s="695"/>
      <c r="LCO4739" s="692"/>
      <c r="LCP4739" s="695"/>
      <c r="LCQ4739" s="692"/>
      <c r="LCR4739" s="695"/>
      <c r="LCS4739" s="692"/>
      <c r="LCT4739" s="695"/>
      <c r="LCU4739" s="692"/>
      <c r="LCV4739" s="695"/>
      <c r="LCW4739" s="692"/>
      <c r="LCX4739" s="695"/>
      <c r="LCY4739" s="692"/>
      <c r="LCZ4739" s="695"/>
      <c r="LDA4739" s="692"/>
      <c r="LDB4739" s="695"/>
      <c r="LDC4739" s="692"/>
      <c r="LDD4739" s="695"/>
      <c r="LDE4739" s="692"/>
      <c r="LDF4739" s="695"/>
      <c r="LDG4739" s="692"/>
      <c r="LDH4739" s="695"/>
      <c r="LDI4739" s="692"/>
      <c r="LDJ4739" s="695"/>
      <c r="LDK4739" s="692"/>
      <c r="LDL4739" s="695"/>
      <c r="LDM4739" s="692"/>
      <c r="LDN4739" s="695"/>
      <c r="LDO4739" s="692"/>
      <c r="LDP4739" s="695"/>
      <c r="LDQ4739" s="692"/>
      <c r="LDR4739" s="695"/>
      <c r="LDS4739" s="692"/>
      <c r="LDT4739" s="695"/>
      <c r="LDU4739" s="692"/>
      <c r="LDV4739" s="695"/>
      <c r="LDW4739" s="692"/>
      <c r="LDX4739" s="695"/>
      <c r="LDY4739" s="692"/>
      <c r="LDZ4739" s="695"/>
      <c r="LEA4739" s="692"/>
      <c r="LEB4739" s="695"/>
      <c r="LEC4739" s="692"/>
      <c r="LED4739" s="695"/>
      <c r="LEE4739" s="692"/>
      <c r="LEF4739" s="695"/>
      <c r="LEG4739" s="692"/>
      <c r="LEH4739" s="695"/>
      <c r="LEI4739" s="692"/>
      <c r="LEJ4739" s="695"/>
      <c r="LEK4739" s="692"/>
      <c r="LEL4739" s="695"/>
      <c r="LEM4739" s="692"/>
      <c r="LEN4739" s="695"/>
      <c r="LEO4739" s="692"/>
      <c r="LEP4739" s="695"/>
      <c r="LEQ4739" s="692"/>
      <c r="LER4739" s="695"/>
      <c r="LES4739" s="692"/>
      <c r="LET4739" s="695"/>
      <c r="LEU4739" s="692"/>
      <c r="LEV4739" s="695"/>
      <c r="LEW4739" s="692"/>
      <c r="LEX4739" s="695"/>
      <c r="LEY4739" s="692"/>
      <c r="LEZ4739" s="695"/>
      <c r="LFA4739" s="692"/>
      <c r="LFB4739" s="695"/>
      <c r="LFC4739" s="692"/>
      <c r="LFD4739" s="695"/>
      <c r="LFE4739" s="692"/>
      <c r="LFF4739" s="695"/>
      <c r="LFG4739" s="692"/>
      <c r="LFH4739" s="695"/>
      <c r="LFI4739" s="692"/>
      <c r="LFJ4739" s="695"/>
      <c r="LFK4739" s="692"/>
      <c r="LFL4739" s="695"/>
      <c r="LFM4739" s="692"/>
      <c r="LFN4739" s="695"/>
      <c r="LFO4739" s="692"/>
      <c r="LFP4739" s="695"/>
      <c r="LFQ4739" s="692"/>
      <c r="LFR4739" s="695"/>
      <c r="LFS4739" s="692"/>
      <c r="LFT4739" s="695"/>
      <c r="LFU4739" s="692"/>
      <c r="LFV4739" s="695"/>
      <c r="LFW4739" s="692"/>
      <c r="LFX4739" s="695"/>
      <c r="LFY4739" s="692"/>
      <c r="LFZ4739" s="695"/>
      <c r="LGA4739" s="692"/>
      <c r="LGB4739" s="695"/>
      <c r="LGC4739" s="692"/>
      <c r="LGD4739" s="695"/>
      <c r="LGE4739" s="692"/>
      <c r="LGF4739" s="695"/>
      <c r="LGG4739" s="692"/>
      <c r="LGH4739" s="695"/>
      <c r="LGI4739" s="692"/>
      <c r="LGJ4739" s="695"/>
      <c r="LGK4739" s="692"/>
      <c r="LGL4739" s="695"/>
      <c r="LGM4739" s="692"/>
      <c r="LGN4739" s="695"/>
      <c r="LGO4739" s="692"/>
      <c r="LGP4739" s="695"/>
      <c r="LGQ4739" s="692"/>
      <c r="LGR4739" s="695"/>
      <c r="LGS4739" s="692"/>
      <c r="LGT4739" s="695"/>
      <c r="LGU4739" s="692"/>
      <c r="LGV4739" s="695"/>
      <c r="LGW4739" s="692"/>
      <c r="LGX4739" s="695"/>
      <c r="LGY4739" s="692"/>
      <c r="LGZ4739" s="695"/>
      <c r="LHA4739" s="692"/>
      <c r="LHB4739" s="695"/>
      <c r="LHC4739" s="692"/>
      <c r="LHD4739" s="695"/>
      <c r="LHE4739" s="692"/>
      <c r="LHF4739" s="695"/>
      <c r="LHG4739" s="692"/>
      <c r="LHH4739" s="695"/>
      <c r="LHI4739" s="692"/>
      <c r="LHJ4739" s="695"/>
      <c r="LHK4739" s="692"/>
      <c r="LHL4739" s="695"/>
      <c r="LHM4739" s="692"/>
      <c r="LHN4739" s="695"/>
      <c r="LHO4739" s="692"/>
      <c r="LHP4739" s="695"/>
      <c r="LHQ4739" s="692"/>
      <c r="LHR4739" s="695"/>
      <c r="LHS4739" s="692"/>
      <c r="LHT4739" s="695"/>
      <c r="LHU4739" s="692"/>
      <c r="LHV4739" s="695"/>
      <c r="LHW4739" s="692"/>
      <c r="LHX4739" s="695"/>
      <c r="LHY4739" s="692"/>
      <c r="LHZ4739" s="695"/>
      <c r="LIA4739" s="692"/>
      <c r="LIB4739" s="695"/>
      <c r="LIC4739" s="692"/>
      <c r="LID4739" s="695"/>
      <c r="LIE4739" s="692"/>
      <c r="LIF4739" s="695"/>
      <c r="LIG4739" s="692"/>
      <c r="LIH4739" s="695"/>
      <c r="LII4739" s="692"/>
      <c r="LIJ4739" s="695"/>
      <c r="LIK4739" s="692"/>
      <c r="LIL4739" s="695"/>
      <c r="LIM4739" s="692"/>
      <c r="LIN4739" s="695"/>
      <c r="LIO4739" s="692"/>
      <c r="LIP4739" s="695"/>
      <c r="LIQ4739" s="692"/>
      <c r="LIR4739" s="695"/>
      <c r="LIS4739" s="692"/>
      <c r="LIT4739" s="695"/>
      <c r="LIU4739" s="692"/>
      <c r="LIV4739" s="695"/>
      <c r="LIW4739" s="692"/>
      <c r="LIX4739" s="695"/>
      <c r="LIY4739" s="692"/>
      <c r="LIZ4739" s="695"/>
      <c r="LJA4739" s="692"/>
      <c r="LJB4739" s="695"/>
      <c r="LJC4739" s="692"/>
      <c r="LJD4739" s="695"/>
      <c r="LJE4739" s="692"/>
      <c r="LJF4739" s="695"/>
      <c r="LJG4739" s="692"/>
      <c r="LJH4739" s="695"/>
      <c r="LJI4739" s="692"/>
      <c r="LJJ4739" s="695"/>
      <c r="LJK4739" s="692"/>
      <c r="LJL4739" s="695"/>
      <c r="LJM4739" s="692"/>
      <c r="LJN4739" s="695"/>
      <c r="LJO4739" s="692"/>
      <c r="LJP4739" s="695"/>
      <c r="LJQ4739" s="692"/>
      <c r="LJR4739" s="695"/>
      <c r="LJS4739" s="692"/>
      <c r="LJT4739" s="695"/>
      <c r="LJU4739" s="692"/>
      <c r="LJV4739" s="695"/>
      <c r="LJW4739" s="692"/>
      <c r="LJX4739" s="695"/>
      <c r="LJY4739" s="692"/>
      <c r="LJZ4739" s="695"/>
      <c r="LKA4739" s="692"/>
      <c r="LKB4739" s="695"/>
      <c r="LKC4739" s="692"/>
      <c r="LKD4739" s="695"/>
      <c r="LKE4739" s="692"/>
      <c r="LKF4739" s="695"/>
      <c r="LKG4739" s="692"/>
      <c r="LKH4739" s="695"/>
      <c r="LKI4739" s="692"/>
      <c r="LKJ4739" s="695"/>
      <c r="LKK4739" s="692"/>
      <c r="LKL4739" s="695"/>
      <c r="LKM4739" s="692"/>
      <c r="LKN4739" s="695"/>
      <c r="LKO4739" s="692"/>
      <c r="LKP4739" s="695"/>
      <c r="LKQ4739" s="692"/>
      <c r="LKR4739" s="695"/>
      <c r="LKS4739" s="692"/>
      <c r="LKT4739" s="695"/>
      <c r="LKU4739" s="692"/>
      <c r="LKV4739" s="695"/>
      <c r="LKW4739" s="692"/>
      <c r="LKX4739" s="695"/>
      <c r="LKY4739" s="692"/>
      <c r="LKZ4739" s="695"/>
      <c r="LLA4739" s="692"/>
      <c r="LLB4739" s="695"/>
      <c r="LLC4739" s="692"/>
      <c r="LLD4739" s="695"/>
      <c r="LLE4739" s="692"/>
      <c r="LLF4739" s="695"/>
      <c r="LLG4739" s="692"/>
      <c r="LLH4739" s="695"/>
      <c r="LLI4739" s="692"/>
      <c r="LLJ4739" s="695"/>
      <c r="LLK4739" s="692"/>
      <c r="LLL4739" s="695"/>
      <c r="LLM4739" s="692"/>
      <c r="LLN4739" s="695"/>
      <c r="LLO4739" s="692"/>
      <c r="LLP4739" s="695"/>
      <c r="LLQ4739" s="692"/>
      <c r="LLR4739" s="695"/>
      <c r="LLS4739" s="692"/>
      <c r="LLT4739" s="695"/>
      <c r="LLU4739" s="692"/>
      <c r="LLV4739" s="695"/>
      <c r="LLW4739" s="692"/>
      <c r="LLX4739" s="695"/>
      <c r="LLY4739" s="692"/>
      <c r="LLZ4739" s="695"/>
      <c r="LMA4739" s="692"/>
      <c r="LMB4739" s="695"/>
      <c r="LMC4739" s="692"/>
      <c r="LMD4739" s="695"/>
      <c r="LME4739" s="692"/>
      <c r="LMF4739" s="695"/>
      <c r="LMG4739" s="692"/>
      <c r="LMH4739" s="695"/>
      <c r="LMI4739" s="692"/>
      <c r="LMJ4739" s="695"/>
      <c r="LMK4739" s="692"/>
      <c r="LML4739" s="695"/>
      <c r="LMM4739" s="692"/>
      <c r="LMN4739" s="695"/>
      <c r="LMO4739" s="692"/>
      <c r="LMP4739" s="695"/>
      <c r="LMQ4739" s="692"/>
      <c r="LMR4739" s="695"/>
      <c r="LMS4739" s="692"/>
      <c r="LMT4739" s="695"/>
      <c r="LMU4739" s="692"/>
      <c r="LMV4739" s="695"/>
      <c r="LMW4739" s="692"/>
      <c r="LMX4739" s="695"/>
      <c r="LMY4739" s="692"/>
      <c r="LMZ4739" s="695"/>
      <c r="LNA4739" s="692"/>
      <c r="LNB4739" s="695"/>
      <c r="LNC4739" s="692"/>
      <c r="LND4739" s="695"/>
      <c r="LNE4739" s="692"/>
      <c r="LNF4739" s="695"/>
      <c r="LNG4739" s="692"/>
      <c r="LNH4739" s="695"/>
      <c r="LNI4739" s="692"/>
      <c r="LNJ4739" s="695"/>
      <c r="LNK4739" s="692"/>
      <c r="LNL4739" s="695"/>
      <c r="LNM4739" s="692"/>
      <c r="LNN4739" s="695"/>
      <c r="LNO4739" s="692"/>
      <c r="LNP4739" s="695"/>
      <c r="LNQ4739" s="692"/>
      <c r="LNR4739" s="695"/>
      <c r="LNS4739" s="692"/>
      <c r="LNT4739" s="695"/>
      <c r="LNU4739" s="692"/>
      <c r="LNV4739" s="695"/>
      <c r="LNW4739" s="692"/>
      <c r="LNX4739" s="695"/>
      <c r="LNY4739" s="692"/>
      <c r="LNZ4739" s="695"/>
      <c r="LOA4739" s="692"/>
      <c r="LOB4739" s="695"/>
      <c r="LOC4739" s="692"/>
      <c r="LOD4739" s="695"/>
      <c r="LOE4739" s="692"/>
      <c r="LOF4739" s="695"/>
      <c r="LOG4739" s="692"/>
      <c r="LOH4739" s="695"/>
      <c r="LOI4739" s="692"/>
      <c r="LOJ4739" s="695"/>
      <c r="LOK4739" s="692"/>
      <c r="LOL4739" s="695"/>
      <c r="LOM4739" s="692"/>
      <c r="LON4739" s="695"/>
      <c r="LOO4739" s="692"/>
      <c r="LOP4739" s="695"/>
      <c r="LOQ4739" s="692"/>
      <c r="LOR4739" s="695"/>
      <c r="LOS4739" s="692"/>
      <c r="LOT4739" s="695"/>
      <c r="LOU4739" s="692"/>
      <c r="LOV4739" s="695"/>
      <c r="LOW4739" s="692"/>
      <c r="LOX4739" s="695"/>
      <c r="LOY4739" s="692"/>
      <c r="LOZ4739" s="695"/>
      <c r="LPA4739" s="692"/>
      <c r="LPB4739" s="695"/>
      <c r="LPC4739" s="692"/>
      <c r="LPD4739" s="695"/>
      <c r="LPE4739" s="692"/>
      <c r="LPF4739" s="695"/>
      <c r="LPG4739" s="692"/>
      <c r="LPH4739" s="695"/>
      <c r="LPI4739" s="692"/>
      <c r="LPJ4739" s="695"/>
      <c r="LPK4739" s="692"/>
      <c r="LPL4739" s="695"/>
      <c r="LPM4739" s="692"/>
      <c r="LPN4739" s="695"/>
      <c r="LPO4739" s="692"/>
      <c r="LPP4739" s="695"/>
      <c r="LPQ4739" s="692"/>
      <c r="LPR4739" s="695"/>
      <c r="LPS4739" s="692"/>
      <c r="LPT4739" s="695"/>
      <c r="LPU4739" s="692"/>
      <c r="LPV4739" s="695"/>
      <c r="LPW4739" s="692"/>
      <c r="LPX4739" s="695"/>
      <c r="LPY4739" s="692"/>
      <c r="LPZ4739" s="695"/>
      <c r="LQA4739" s="692"/>
      <c r="LQB4739" s="695"/>
      <c r="LQC4739" s="692"/>
      <c r="LQD4739" s="695"/>
      <c r="LQE4739" s="692"/>
      <c r="LQF4739" s="695"/>
      <c r="LQG4739" s="692"/>
      <c r="LQH4739" s="695"/>
      <c r="LQI4739" s="692"/>
      <c r="LQJ4739" s="695"/>
      <c r="LQK4739" s="692"/>
      <c r="LQL4739" s="695"/>
      <c r="LQM4739" s="692"/>
      <c r="LQN4739" s="695"/>
      <c r="LQO4739" s="692"/>
      <c r="LQP4739" s="695"/>
      <c r="LQQ4739" s="692"/>
      <c r="LQR4739" s="695"/>
      <c r="LQS4739" s="692"/>
      <c r="LQT4739" s="695"/>
      <c r="LQU4739" s="692"/>
      <c r="LQV4739" s="695"/>
      <c r="LQW4739" s="692"/>
      <c r="LQX4739" s="695"/>
      <c r="LQY4739" s="692"/>
      <c r="LQZ4739" s="695"/>
      <c r="LRA4739" s="692"/>
      <c r="LRB4739" s="695"/>
      <c r="LRC4739" s="692"/>
      <c r="LRD4739" s="695"/>
      <c r="LRE4739" s="692"/>
      <c r="LRF4739" s="695"/>
      <c r="LRG4739" s="692"/>
      <c r="LRH4739" s="695"/>
      <c r="LRI4739" s="692"/>
      <c r="LRJ4739" s="695"/>
      <c r="LRK4739" s="692"/>
      <c r="LRL4739" s="695"/>
      <c r="LRM4739" s="692"/>
      <c r="LRN4739" s="695"/>
      <c r="LRO4739" s="692"/>
      <c r="LRP4739" s="695"/>
      <c r="LRQ4739" s="692"/>
      <c r="LRR4739" s="695"/>
      <c r="LRS4739" s="692"/>
      <c r="LRT4739" s="695"/>
      <c r="LRU4739" s="692"/>
      <c r="LRV4739" s="695"/>
      <c r="LRW4739" s="692"/>
      <c r="LRX4739" s="695"/>
      <c r="LRY4739" s="692"/>
      <c r="LRZ4739" s="695"/>
      <c r="LSA4739" s="692"/>
      <c r="LSB4739" s="695"/>
      <c r="LSC4739" s="692"/>
      <c r="LSD4739" s="695"/>
      <c r="LSE4739" s="692"/>
      <c r="LSF4739" s="695"/>
      <c r="LSG4739" s="692"/>
      <c r="LSH4739" s="695"/>
      <c r="LSI4739" s="692"/>
      <c r="LSJ4739" s="695"/>
      <c r="LSK4739" s="692"/>
      <c r="LSL4739" s="695"/>
      <c r="LSM4739" s="692"/>
      <c r="LSN4739" s="695"/>
      <c r="LSO4739" s="692"/>
      <c r="LSP4739" s="695"/>
      <c r="LSQ4739" s="692"/>
      <c r="LSR4739" s="695"/>
      <c r="LSS4739" s="692"/>
      <c r="LST4739" s="695"/>
      <c r="LSU4739" s="692"/>
      <c r="LSV4739" s="695"/>
      <c r="LSW4739" s="692"/>
      <c r="LSX4739" s="695"/>
      <c r="LSY4739" s="692"/>
      <c r="LSZ4739" s="695"/>
      <c r="LTA4739" s="692"/>
      <c r="LTB4739" s="695"/>
      <c r="LTC4739" s="692"/>
      <c r="LTD4739" s="695"/>
      <c r="LTE4739" s="692"/>
      <c r="LTF4739" s="695"/>
      <c r="LTG4739" s="692"/>
      <c r="LTH4739" s="695"/>
      <c r="LTI4739" s="692"/>
      <c r="LTJ4739" s="695"/>
      <c r="LTK4739" s="692"/>
      <c r="LTL4739" s="695"/>
      <c r="LTM4739" s="692"/>
      <c r="LTN4739" s="695"/>
      <c r="LTO4739" s="692"/>
      <c r="LTP4739" s="695"/>
      <c r="LTQ4739" s="692"/>
      <c r="LTR4739" s="695"/>
      <c r="LTS4739" s="692"/>
      <c r="LTT4739" s="695"/>
      <c r="LTU4739" s="692"/>
      <c r="LTV4739" s="695"/>
      <c r="LTW4739" s="692"/>
      <c r="LTX4739" s="695"/>
      <c r="LTY4739" s="692"/>
      <c r="LTZ4739" s="695"/>
      <c r="LUA4739" s="692"/>
      <c r="LUB4739" s="695"/>
      <c r="LUC4739" s="692"/>
      <c r="LUD4739" s="695"/>
      <c r="LUE4739" s="692"/>
      <c r="LUF4739" s="695"/>
      <c r="LUG4739" s="692"/>
      <c r="LUH4739" s="695"/>
      <c r="LUI4739" s="692"/>
      <c r="LUJ4739" s="695"/>
      <c r="LUK4739" s="692"/>
      <c r="LUL4739" s="695"/>
      <c r="LUM4739" s="692"/>
      <c r="LUN4739" s="695"/>
      <c r="LUO4739" s="692"/>
      <c r="LUP4739" s="695"/>
      <c r="LUQ4739" s="692"/>
      <c r="LUR4739" s="695"/>
      <c r="LUS4739" s="692"/>
      <c r="LUT4739" s="695"/>
      <c r="LUU4739" s="692"/>
      <c r="LUV4739" s="695"/>
      <c r="LUW4739" s="692"/>
      <c r="LUX4739" s="695"/>
      <c r="LUY4739" s="692"/>
      <c r="LUZ4739" s="695"/>
      <c r="LVA4739" s="692"/>
      <c r="LVB4739" s="695"/>
      <c r="LVC4739" s="692"/>
      <c r="LVD4739" s="695"/>
      <c r="LVE4739" s="692"/>
      <c r="LVF4739" s="695"/>
      <c r="LVG4739" s="692"/>
      <c r="LVH4739" s="695"/>
      <c r="LVI4739" s="692"/>
      <c r="LVJ4739" s="695"/>
      <c r="LVK4739" s="692"/>
      <c r="LVL4739" s="695"/>
      <c r="LVM4739" s="692"/>
      <c r="LVN4739" s="695"/>
      <c r="LVO4739" s="692"/>
      <c r="LVP4739" s="695"/>
      <c r="LVQ4739" s="692"/>
      <c r="LVR4739" s="695"/>
      <c r="LVS4739" s="692"/>
      <c r="LVT4739" s="695"/>
      <c r="LVU4739" s="692"/>
      <c r="LVV4739" s="695"/>
      <c r="LVW4739" s="692"/>
      <c r="LVX4739" s="695"/>
      <c r="LVY4739" s="692"/>
      <c r="LVZ4739" s="695"/>
      <c r="LWA4739" s="692"/>
      <c r="LWB4739" s="695"/>
      <c r="LWC4739" s="692"/>
      <c r="LWD4739" s="695"/>
      <c r="LWE4739" s="692"/>
      <c r="LWF4739" s="695"/>
      <c r="LWG4739" s="692"/>
      <c r="LWH4739" s="695"/>
      <c r="LWI4739" s="692"/>
      <c r="LWJ4739" s="695"/>
      <c r="LWK4739" s="692"/>
      <c r="LWL4739" s="695"/>
      <c r="LWM4739" s="692"/>
      <c r="LWN4739" s="695"/>
      <c r="LWO4739" s="692"/>
      <c r="LWP4739" s="695"/>
      <c r="LWQ4739" s="692"/>
      <c r="LWR4739" s="695"/>
      <c r="LWS4739" s="692"/>
      <c r="LWT4739" s="695"/>
      <c r="LWU4739" s="692"/>
      <c r="LWV4739" s="695"/>
      <c r="LWW4739" s="692"/>
      <c r="LWX4739" s="695"/>
      <c r="LWY4739" s="692"/>
      <c r="LWZ4739" s="695"/>
      <c r="LXA4739" s="692"/>
      <c r="LXB4739" s="695"/>
      <c r="LXC4739" s="692"/>
      <c r="LXD4739" s="695"/>
      <c r="LXE4739" s="692"/>
      <c r="LXF4739" s="695"/>
      <c r="LXG4739" s="692"/>
      <c r="LXH4739" s="695"/>
      <c r="LXI4739" s="692"/>
      <c r="LXJ4739" s="695"/>
      <c r="LXK4739" s="692"/>
      <c r="LXL4739" s="695"/>
      <c r="LXM4739" s="692"/>
      <c r="LXN4739" s="695"/>
      <c r="LXO4739" s="692"/>
      <c r="LXP4739" s="695"/>
      <c r="LXQ4739" s="692"/>
      <c r="LXR4739" s="695"/>
      <c r="LXS4739" s="692"/>
      <c r="LXT4739" s="695"/>
      <c r="LXU4739" s="692"/>
      <c r="LXV4739" s="695"/>
      <c r="LXW4739" s="692"/>
      <c r="LXX4739" s="695"/>
      <c r="LXY4739" s="692"/>
      <c r="LXZ4739" s="695"/>
      <c r="LYA4739" s="692"/>
      <c r="LYB4739" s="695"/>
      <c r="LYC4739" s="692"/>
      <c r="LYD4739" s="695"/>
      <c r="LYE4739" s="692"/>
      <c r="LYF4739" s="695"/>
      <c r="LYG4739" s="692"/>
      <c r="LYH4739" s="695"/>
      <c r="LYI4739" s="692"/>
      <c r="LYJ4739" s="695"/>
      <c r="LYK4739" s="692"/>
      <c r="LYL4739" s="695"/>
      <c r="LYM4739" s="692"/>
      <c r="LYN4739" s="695"/>
      <c r="LYO4739" s="692"/>
      <c r="LYP4739" s="695"/>
      <c r="LYQ4739" s="692"/>
      <c r="LYR4739" s="695"/>
      <c r="LYS4739" s="692"/>
      <c r="LYT4739" s="695"/>
      <c r="LYU4739" s="692"/>
      <c r="LYV4739" s="695"/>
      <c r="LYW4739" s="692"/>
      <c r="LYX4739" s="695"/>
      <c r="LYY4739" s="692"/>
      <c r="LYZ4739" s="695"/>
      <c r="LZA4739" s="692"/>
      <c r="LZB4739" s="695"/>
      <c r="LZC4739" s="692"/>
      <c r="LZD4739" s="695"/>
      <c r="LZE4739" s="692"/>
      <c r="LZF4739" s="695"/>
      <c r="LZG4739" s="692"/>
      <c r="LZH4739" s="695"/>
      <c r="LZI4739" s="692"/>
      <c r="LZJ4739" s="695"/>
      <c r="LZK4739" s="692"/>
      <c r="LZL4739" s="695"/>
      <c r="LZM4739" s="692"/>
      <c r="LZN4739" s="695"/>
      <c r="LZO4739" s="692"/>
      <c r="LZP4739" s="695"/>
      <c r="LZQ4739" s="692"/>
      <c r="LZR4739" s="695"/>
      <c r="LZS4739" s="692"/>
      <c r="LZT4739" s="695"/>
      <c r="LZU4739" s="692"/>
      <c r="LZV4739" s="695"/>
      <c r="LZW4739" s="692"/>
      <c r="LZX4739" s="695"/>
      <c r="LZY4739" s="692"/>
      <c r="LZZ4739" s="695"/>
      <c r="MAA4739" s="692"/>
      <c r="MAB4739" s="695"/>
      <c r="MAC4739" s="692"/>
      <c r="MAD4739" s="695"/>
      <c r="MAE4739" s="692"/>
      <c r="MAF4739" s="695"/>
      <c r="MAG4739" s="692"/>
      <c r="MAH4739" s="695"/>
      <c r="MAI4739" s="692"/>
      <c r="MAJ4739" s="695"/>
      <c r="MAK4739" s="692"/>
      <c r="MAL4739" s="695"/>
      <c r="MAM4739" s="692"/>
      <c r="MAN4739" s="695"/>
      <c r="MAO4739" s="692"/>
      <c r="MAP4739" s="695"/>
      <c r="MAQ4739" s="692"/>
      <c r="MAR4739" s="695"/>
      <c r="MAS4739" s="692"/>
      <c r="MAT4739" s="695"/>
      <c r="MAU4739" s="692"/>
      <c r="MAV4739" s="695"/>
      <c r="MAW4739" s="692"/>
      <c r="MAX4739" s="695"/>
      <c r="MAY4739" s="692"/>
      <c r="MAZ4739" s="695"/>
      <c r="MBA4739" s="692"/>
      <c r="MBB4739" s="695"/>
      <c r="MBC4739" s="692"/>
      <c r="MBD4739" s="695"/>
      <c r="MBE4739" s="692"/>
      <c r="MBF4739" s="695"/>
      <c r="MBG4739" s="692"/>
      <c r="MBH4739" s="695"/>
      <c r="MBI4739" s="692"/>
      <c r="MBJ4739" s="695"/>
      <c r="MBK4739" s="692"/>
      <c r="MBL4739" s="695"/>
      <c r="MBM4739" s="692"/>
      <c r="MBN4739" s="695"/>
      <c r="MBO4739" s="692"/>
      <c r="MBP4739" s="695"/>
      <c r="MBQ4739" s="692"/>
      <c r="MBR4739" s="695"/>
      <c r="MBS4739" s="692"/>
      <c r="MBT4739" s="695"/>
      <c r="MBU4739" s="692"/>
      <c r="MBV4739" s="695"/>
      <c r="MBW4739" s="692"/>
      <c r="MBX4739" s="695"/>
      <c r="MBY4739" s="692"/>
      <c r="MBZ4739" s="695"/>
      <c r="MCA4739" s="692"/>
      <c r="MCB4739" s="695"/>
      <c r="MCC4739" s="692"/>
      <c r="MCD4739" s="695"/>
      <c r="MCE4739" s="692"/>
      <c r="MCF4739" s="695"/>
      <c r="MCG4739" s="692"/>
      <c r="MCH4739" s="695"/>
      <c r="MCI4739" s="692"/>
      <c r="MCJ4739" s="695"/>
      <c r="MCK4739" s="692"/>
      <c r="MCL4739" s="695"/>
      <c r="MCM4739" s="692"/>
      <c r="MCN4739" s="695"/>
      <c r="MCO4739" s="692"/>
      <c r="MCP4739" s="695"/>
      <c r="MCQ4739" s="692"/>
      <c r="MCR4739" s="695"/>
      <c r="MCS4739" s="692"/>
      <c r="MCT4739" s="695"/>
      <c r="MCU4739" s="692"/>
      <c r="MCV4739" s="695"/>
      <c r="MCW4739" s="692"/>
      <c r="MCX4739" s="695"/>
      <c r="MCY4739" s="692"/>
      <c r="MCZ4739" s="695"/>
      <c r="MDA4739" s="692"/>
      <c r="MDB4739" s="695"/>
      <c r="MDC4739" s="692"/>
      <c r="MDD4739" s="695"/>
      <c r="MDE4739" s="692"/>
      <c r="MDF4739" s="695"/>
      <c r="MDG4739" s="692"/>
      <c r="MDH4739" s="695"/>
      <c r="MDI4739" s="692"/>
      <c r="MDJ4739" s="695"/>
      <c r="MDK4739" s="692"/>
      <c r="MDL4739" s="695"/>
      <c r="MDM4739" s="692"/>
      <c r="MDN4739" s="695"/>
      <c r="MDO4739" s="692"/>
      <c r="MDP4739" s="695"/>
      <c r="MDQ4739" s="692"/>
      <c r="MDR4739" s="695"/>
      <c r="MDS4739" s="692"/>
      <c r="MDT4739" s="695"/>
      <c r="MDU4739" s="692"/>
      <c r="MDV4739" s="695"/>
      <c r="MDW4739" s="692"/>
      <c r="MDX4739" s="695"/>
      <c r="MDY4739" s="692"/>
      <c r="MDZ4739" s="695"/>
      <c r="MEA4739" s="692"/>
      <c r="MEB4739" s="695"/>
      <c r="MEC4739" s="692"/>
      <c r="MED4739" s="695"/>
      <c r="MEE4739" s="692"/>
      <c r="MEF4739" s="695"/>
      <c r="MEG4739" s="692"/>
      <c r="MEH4739" s="695"/>
      <c r="MEI4739" s="692"/>
      <c r="MEJ4739" s="695"/>
      <c r="MEK4739" s="692"/>
      <c r="MEL4739" s="695"/>
      <c r="MEM4739" s="692"/>
      <c r="MEN4739" s="695"/>
      <c r="MEO4739" s="692"/>
      <c r="MEP4739" s="695"/>
      <c r="MEQ4739" s="692"/>
      <c r="MER4739" s="695"/>
      <c r="MES4739" s="692"/>
      <c r="MET4739" s="695"/>
      <c r="MEU4739" s="692"/>
      <c r="MEV4739" s="695"/>
      <c r="MEW4739" s="692"/>
      <c r="MEX4739" s="695"/>
      <c r="MEY4739" s="692"/>
      <c r="MEZ4739" s="695"/>
      <c r="MFA4739" s="692"/>
      <c r="MFB4739" s="695"/>
      <c r="MFC4739" s="692"/>
      <c r="MFD4739" s="695"/>
      <c r="MFE4739" s="692"/>
      <c r="MFF4739" s="695"/>
      <c r="MFG4739" s="692"/>
      <c r="MFH4739" s="695"/>
      <c r="MFI4739" s="692"/>
      <c r="MFJ4739" s="695"/>
      <c r="MFK4739" s="692"/>
      <c r="MFL4739" s="695"/>
      <c r="MFM4739" s="692"/>
      <c r="MFN4739" s="695"/>
      <c r="MFO4739" s="692"/>
      <c r="MFP4739" s="695"/>
      <c r="MFQ4739" s="692"/>
      <c r="MFR4739" s="695"/>
      <c r="MFS4739" s="692"/>
      <c r="MFT4739" s="695"/>
      <c r="MFU4739" s="692"/>
      <c r="MFV4739" s="695"/>
      <c r="MFW4739" s="692"/>
      <c r="MFX4739" s="695"/>
      <c r="MFY4739" s="692"/>
      <c r="MFZ4739" s="695"/>
      <c r="MGA4739" s="692"/>
      <c r="MGB4739" s="695"/>
      <c r="MGC4739" s="692"/>
      <c r="MGD4739" s="695"/>
      <c r="MGE4739" s="692"/>
      <c r="MGF4739" s="695"/>
      <c r="MGG4739" s="692"/>
      <c r="MGH4739" s="695"/>
      <c r="MGI4739" s="692"/>
      <c r="MGJ4739" s="695"/>
      <c r="MGK4739" s="692"/>
      <c r="MGL4739" s="695"/>
      <c r="MGM4739" s="692"/>
      <c r="MGN4739" s="695"/>
      <c r="MGO4739" s="692"/>
      <c r="MGP4739" s="695"/>
      <c r="MGQ4739" s="692"/>
      <c r="MGR4739" s="695"/>
      <c r="MGS4739" s="692"/>
      <c r="MGT4739" s="695"/>
      <c r="MGU4739" s="692"/>
      <c r="MGV4739" s="695"/>
      <c r="MGW4739" s="692"/>
      <c r="MGX4739" s="695"/>
      <c r="MGY4739" s="692"/>
      <c r="MGZ4739" s="695"/>
      <c r="MHA4739" s="692"/>
      <c r="MHB4739" s="695"/>
      <c r="MHC4739" s="692"/>
      <c r="MHD4739" s="695"/>
      <c r="MHE4739" s="692"/>
      <c r="MHF4739" s="695"/>
      <c r="MHG4739" s="692"/>
      <c r="MHH4739" s="695"/>
      <c r="MHI4739" s="692"/>
      <c r="MHJ4739" s="695"/>
      <c r="MHK4739" s="692"/>
      <c r="MHL4739" s="695"/>
      <c r="MHM4739" s="692"/>
      <c r="MHN4739" s="695"/>
      <c r="MHO4739" s="692"/>
      <c r="MHP4739" s="695"/>
      <c r="MHQ4739" s="692"/>
      <c r="MHR4739" s="695"/>
      <c r="MHS4739" s="692"/>
      <c r="MHT4739" s="695"/>
      <c r="MHU4739" s="692"/>
      <c r="MHV4739" s="695"/>
      <c r="MHW4739" s="692"/>
      <c r="MHX4739" s="695"/>
      <c r="MHY4739" s="692"/>
      <c r="MHZ4739" s="695"/>
      <c r="MIA4739" s="692"/>
      <c r="MIB4739" s="695"/>
      <c r="MIC4739" s="692"/>
      <c r="MID4739" s="695"/>
      <c r="MIE4739" s="692"/>
      <c r="MIF4739" s="695"/>
      <c r="MIG4739" s="692"/>
      <c r="MIH4739" s="695"/>
      <c r="MII4739" s="692"/>
      <c r="MIJ4739" s="695"/>
      <c r="MIK4739" s="692"/>
      <c r="MIL4739" s="695"/>
      <c r="MIM4739" s="692"/>
      <c r="MIN4739" s="695"/>
      <c r="MIO4739" s="692"/>
      <c r="MIP4739" s="695"/>
      <c r="MIQ4739" s="692"/>
      <c r="MIR4739" s="695"/>
      <c r="MIS4739" s="692"/>
      <c r="MIT4739" s="695"/>
      <c r="MIU4739" s="692"/>
      <c r="MIV4739" s="695"/>
      <c r="MIW4739" s="692"/>
      <c r="MIX4739" s="695"/>
      <c r="MIY4739" s="692"/>
      <c r="MIZ4739" s="695"/>
      <c r="MJA4739" s="692"/>
      <c r="MJB4739" s="695"/>
      <c r="MJC4739" s="692"/>
      <c r="MJD4739" s="695"/>
      <c r="MJE4739" s="692"/>
      <c r="MJF4739" s="695"/>
      <c r="MJG4739" s="692"/>
      <c r="MJH4739" s="695"/>
      <c r="MJI4739" s="692"/>
      <c r="MJJ4739" s="695"/>
      <c r="MJK4739" s="692"/>
      <c r="MJL4739" s="695"/>
      <c r="MJM4739" s="692"/>
      <c r="MJN4739" s="695"/>
      <c r="MJO4739" s="692"/>
      <c r="MJP4739" s="695"/>
      <c r="MJQ4739" s="692"/>
      <c r="MJR4739" s="695"/>
      <c r="MJS4739" s="692"/>
      <c r="MJT4739" s="695"/>
      <c r="MJU4739" s="692"/>
      <c r="MJV4739" s="695"/>
      <c r="MJW4739" s="692"/>
      <c r="MJX4739" s="695"/>
      <c r="MJY4739" s="692"/>
      <c r="MJZ4739" s="695"/>
      <c r="MKA4739" s="692"/>
      <c r="MKB4739" s="695"/>
      <c r="MKC4739" s="692"/>
      <c r="MKD4739" s="695"/>
      <c r="MKE4739" s="692"/>
      <c r="MKF4739" s="695"/>
      <c r="MKG4739" s="692"/>
      <c r="MKH4739" s="695"/>
      <c r="MKI4739" s="692"/>
      <c r="MKJ4739" s="695"/>
      <c r="MKK4739" s="692"/>
      <c r="MKL4739" s="695"/>
      <c r="MKM4739" s="692"/>
      <c r="MKN4739" s="695"/>
      <c r="MKO4739" s="692"/>
      <c r="MKP4739" s="695"/>
      <c r="MKQ4739" s="692"/>
      <c r="MKR4739" s="695"/>
      <c r="MKS4739" s="692"/>
      <c r="MKT4739" s="695"/>
      <c r="MKU4739" s="692"/>
      <c r="MKV4739" s="695"/>
      <c r="MKW4739" s="692"/>
      <c r="MKX4739" s="695"/>
      <c r="MKY4739" s="692"/>
      <c r="MKZ4739" s="695"/>
      <c r="MLA4739" s="692"/>
      <c r="MLB4739" s="695"/>
      <c r="MLC4739" s="692"/>
      <c r="MLD4739" s="695"/>
      <c r="MLE4739" s="692"/>
      <c r="MLF4739" s="695"/>
      <c r="MLG4739" s="692"/>
      <c r="MLH4739" s="695"/>
      <c r="MLI4739" s="692"/>
      <c r="MLJ4739" s="695"/>
      <c r="MLK4739" s="692"/>
      <c r="MLL4739" s="695"/>
      <c r="MLM4739" s="692"/>
      <c r="MLN4739" s="695"/>
      <c r="MLO4739" s="692"/>
      <c r="MLP4739" s="695"/>
      <c r="MLQ4739" s="692"/>
      <c r="MLR4739" s="695"/>
      <c r="MLS4739" s="692"/>
      <c r="MLT4739" s="695"/>
      <c r="MLU4739" s="692"/>
      <c r="MLV4739" s="695"/>
      <c r="MLW4739" s="692"/>
      <c r="MLX4739" s="695"/>
      <c r="MLY4739" s="692"/>
      <c r="MLZ4739" s="695"/>
      <c r="MMA4739" s="692"/>
      <c r="MMB4739" s="695"/>
      <c r="MMC4739" s="692"/>
      <c r="MMD4739" s="695"/>
      <c r="MME4739" s="692"/>
      <c r="MMF4739" s="695"/>
      <c r="MMG4739" s="692"/>
      <c r="MMH4739" s="695"/>
      <c r="MMI4739" s="692"/>
      <c r="MMJ4739" s="695"/>
      <c r="MMK4739" s="692"/>
      <c r="MML4739" s="695"/>
      <c r="MMM4739" s="692"/>
      <c r="MMN4739" s="695"/>
      <c r="MMO4739" s="692"/>
      <c r="MMP4739" s="695"/>
      <c r="MMQ4739" s="692"/>
      <c r="MMR4739" s="695"/>
      <c r="MMS4739" s="692"/>
      <c r="MMT4739" s="695"/>
      <c r="MMU4739" s="692"/>
      <c r="MMV4739" s="695"/>
      <c r="MMW4739" s="692"/>
      <c r="MMX4739" s="695"/>
      <c r="MMY4739" s="692"/>
      <c r="MMZ4739" s="695"/>
      <c r="MNA4739" s="692"/>
      <c r="MNB4739" s="695"/>
      <c r="MNC4739" s="692"/>
      <c r="MND4739" s="695"/>
      <c r="MNE4739" s="692"/>
      <c r="MNF4739" s="695"/>
      <c r="MNG4739" s="692"/>
      <c r="MNH4739" s="695"/>
      <c r="MNI4739" s="692"/>
      <c r="MNJ4739" s="695"/>
      <c r="MNK4739" s="692"/>
      <c r="MNL4739" s="695"/>
      <c r="MNM4739" s="692"/>
      <c r="MNN4739" s="695"/>
      <c r="MNO4739" s="692"/>
      <c r="MNP4739" s="695"/>
      <c r="MNQ4739" s="692"/>
      <c r="MNR4739" s="695"/>
      <c r="MNS4739" s="692"/>
      <c r="MNT4739" s="695"/>
      <c r="MNU4739" s="692"/>
      <c r="MNV4739" s="695"/>
      <c r="MNW4739" s="692"/>
      <c r="MNX4739" s="695"/>
      <c r="MNY4739" s="692"/>
      <c r="MNZ4739" s="695"/>
      <c r="MOA4739" s="692"/>
      <c r="MOB4739" s="695"/>
      <c r="MOC4739" s="692"/>
      <c r="MOD4739" s="695"/>
      <c r="MOE4739" s="692"/>
      <c r="MOF4739" s="695"/>
      <c r="MOG4739" s="692"/>
      <c r="MOH4739" s="695"/>
      <c r="MOI4739" s="692"/>
      <c r="MOJ4739" s="695"/>
      <c r="MOK4739" s="692"/>
      <c r="MOL4739" s="695"/>
      <c r="MOM4739" s="692"/>
      <c r="MON4739" s="695"/>
      <c r="MOO4739" s="692"/>
      <c r="MOP4739" s="695"/>
      <c r="MOQ4739" s="692"/>
      <c r="MOR4739" s="695"/>
      <c r="MOS4739" s="692"/>
      <c r="MOT4739" s="695"/>
      <c r="MOU4739" s="692"/>
      <c r="MOV4739" s="695"/>
      <c r="MOW4739" s="692"/>
      <c r="MOX4739" s="695"/>
      <c r="MOY4739" s="692"/>
      <c r="MOZ4739" s="695"/>
      <c r="MPA4739" s="692"/>
      <c r="MPB4739" s="695"/>
      <c r="MPC4739" s="692"/>
      <c r="MPD4739" s="695"/>
      <c r="MPE4739" s="692"/>
      <c r="MPF4739" s="695"/>
      <c r="MPG4739" s="692"/>
      <c r="MPH4739" s="695"/>
      <c r="MPI4739" s="692"/>
      <c r="MPJ4739" s="695"/>
      <c r="MPK4739" s="692"/>
      <c r="MPL4739" s="695"/>
      <c r="MPM4739" s="692"/>
      <c r="MPN4739" s="695"/>
      <c r="MPO4739" s="692"/>
      <c r="MPP4739" s="695"/>
      <c r="MPQ4739" s="692"/>
      <c r="MPR4739" s="695"/>
      <c r="MPS4739" s="692"/>
      <c r="MPT4739" s="695"/>
      <c r="MPU4739" s="692"/>
      <c r="MPV4739" s="695"/>
      <c r="MPW4739" s="692"/>
      <c r="MPX4739" s="695"/>
      <c r="MPY4739" s="692"/>
      <c r="MPZ4739" s="695"/>
      <c r="MQA4739" s="692"/>
      <c r="MQB4739" s="695"/>
      <c r="MQC4739" s="692"/>
      <c r="MQD4739" s="695"/>
      <c r="MQE4739" s="692"/>
      <c r="MQF4739" s="695"/>
      <c r="MQG4739" s="692"/>
      <c r="MQH4739" s="695"/>
      <c r="MQI4739" s="692"/>
      <c r="MQJ4739" s="695"/>
      <c r="MQK4739" s="692"/>
      <c r="MQL4739" s="695"/>
      <c r="MQM4739" s="692"/>
      <c r="MQN4739" s="695"/>
      <c r="MQO4739" s="692"/>
      <c r="MQP4739" s="695"/>
      <c r="MQQ4739" s="692"/>
      <c r="MQR4739" s="695"/>
      <c r="MQS4739" s="692"/>
      <c r="MQT4739" s="695"/>
      <c r="MQU4739" s="692"/>
      <c r="MQV4739" s="695"/>
      <c r="MQW4739" s="692"/>
      <c r="MQX4739" s="695"/>
      <c r="MQY4739" s="692"/>
      <c r="MQZ4739" s="695"/>
      <c r="MRA4739" s="692"/>
      <c r="MRB4739" s="695"/>
      <c r="MRC4739" s="692"/>
      <c r="MRD4739" s="695"/>
      <c r="MRE4739" s="692"/>
      <c r="MRF4739" s="695"/>
      <c r="MRG4739" s="692"/>
      <c r="MRH4739" s="695"/>
      <c r="MRI4739" s="692"/>
      <c r="MRJ4739" s="695"/>
      <c r="MRK4739" s="692"/>
      <c r="MRL4739" s="695"/>
      <c r="MRM4739" s="692"/>
      <c r="MRN4739" s="695"/>
      <c r="MRO4739" s="692"/>
      <c r="MRP4739" s="695"/>
      <c r="MRQ4739" s="692"/>
      <c r="MRR4739" s="695"/>
      <c r="MRS4739" s="692"/>
      <c r="MRT4739" s="695"/>
      <c r="MRU4739" s="692"/>
      <c r="MRV4739" s="695"/>
      <c r="MRW4739" s="692"/>
      <c r="MRX4739" s="695"/>
      <c r="MRY4739" s="692"/>
      <c r="MRZ4739" s="695"/>
      <c r="MSA4739" s="692"/>
      <c r="MSB4739" s="695"/>
      <c r="MSC4739" s="692"/>
      <c r="MSD4739" s="695"/>
      <c r="MSE4739" s="692"/>
      <c r="MSF4739" s="695"/>
      <c r="MSG4739" s="692"/>
      <c r="MSH4739" s="695"/>
      <c r="MSI4739" s="692"/>
      <c r="MSJ4739" s="695"/>
      <c r="MSK4739" s="692"/>
      <c r="MSL4739" s="695"/>
      <c r="MSM4739" s="692"/>
      <c r="MSN4739" s="695"/>
      <c r="MSO4739" s="692"/>
      <c r="MSP4739" s="695"/>
      <c r="MSQ4739" s="692"/>
      <c r="MSR4739" s="695"/>
      <c r="MSS4739" s="692"/>
      <c r="MST4739" s="695"/>
      <c r="MSU4739" s="692"/>
      <c r="MSV4739" s="695"/>
      <c r="MSW4739" s="692"/>
      <c r="MSX4739" s="695"/>
      <c r="MSY4739" s="692"/>
      <c r="MSZ4739" s="695"/>
      <c r="MTA4739" s="692"/>
      <c r="MTB4739" s="695"/>
      <c r="MTC4739" s="692"/>
      <c r="MTD4739" s="695"/>
      <c r="MTE4739" s="692"/>
      <c r="MTF4739" s="695"/>
      <c r="MTG4739" s="692"/>
      <c r="MTH4739" s="695"/>
      <c r="MTI4739" s="692"/>
      <c r="MTJ4739" s="695"/>
      <c r="MTK4739" s="692"/>
      <c r="MTL4739" s="695"/>
      <c r="MTM4739" s="692"/>
      <c r="MTN4739" s="695"/>
      <c r="MTO4739" s="692"/>
      <c r="MTP4739" s="695"/>
      <c r="MTQ4739" s="692"/>
      <c r="MTR4739" s="695"/>
      <c r="MTS4739" s="692"/>
      <c r="MTT4739" s="695"/>
      <c r="MTU4739" s="692"/>
      <c r="MTV4739" s="695"/>
      <c r="MTW4739" s="692"/>
      <c r="MTX4739" s="695"/>
      <c r="MTY4739" s="692"/>
      <c r="MTZ4739" s="695"/>
      <c r="MUA4739" s="692"/>
      <c r="MUB4739" s="695"/>
      <c r="MUC4739" s="692"/>
      <c r="MUD4739" s="695"/>
      <c r="MUE4739" s="692"/>
      <c r="MUF4739" s="695"/>
      <c r="MUG4739" s="692"/>
      <c r="MUH4739" s="695"/>
      <c r="MUI4739" s="692"/>
      <c r="MUJ4739" s="695"/>
      <c r="MUK4739" s="692"/>
      <c r="MUL4739" s="695"/>
      <c r="MUM4739" s="692"/>
      <c r="MUN4739" s="695"/>
      <c r="MUO4739" s="692"/>
      <c r="MUP4739" s="695"/>
      <c r="MUQ4739" s="692"/>
      <c r="MUR4739" s="695"/>
      <c r="MUS4739" s="692"/>
      <c r="MUT4739" s="695"/>
      <c r="MUU4739" s="692"/>
      <c r="MUV4739" s="695"/>
      <c r="MUW4739" s="692"/>
      <c r="MUX4739" s="695"/>
      <c r="MUY4739" s="692"/>
      <c r="MUZ4739" s="695"/>
      <c r="MVA4739" s="692"/>
      <c r="MVB4739" s="695"/>
      <c r="MVC4739" s="692"/>
      <c r="MVD4739" s="695"/>
      <c r="MVE4739" s="692"/>
      <c r="MVF4739" s="695"/>
      <c r="MVG4739" s="692"/>
      <c r="MVH4739" s="695"/>
      <c r="MVI4739" s="692"/>
      <c r="MVJ4739" s="695"/>
      <c r="MVK4739" s="692"/>
      <c r="MVL4739" s="695"/>
      <c r="MVM4739" s="692"/>
      <c r="MVN4739" s="695"/>
      <c r="MVO4739" s="692"/>
      <c r="MVP4739" s="695"/>
      <c r="MVQ4739" s="692"/>
      <c r="MVR4739" s="695"/>
      <c r="MVS4739" s="692"/>
      <c r="MVT4739" s="695"/>
      <c r="MVU4739" s="692"/>
      <c r="MVV4739" s="695"/>
      <c r="MVW4739" s="692"/>
      <c r="MVX4739" s="695"/>
      <c r="MVY4739" s="692"/>
      <c r="MVZ4739" s="695"/>
      <c r="MWA4739" s="692"/>
      <c r="MWB4739" s="695"/>
      <c r="MWC4739" s="692"/>
      <c r="MWD4739" s="695"/>
      <c r="MWE4739" s="692"/>
      <c r="MWF4739" s="695"/>
      <c r="MWG4739" s="692"/>
      <c r="MWH4739" s="695"/>
      <c r="MWI4739" s="692"/>
      <c r="MWJ4739" s="695"/>
      <c r="MWK4739" s="692"/>
      <c r="MWL4739" s="695"/>
      <c r="MWM4739" s="692"/>
      <c r="MWN4739" s="695"/>
      <c r="MWO4739" s="692"/>
      <c r="MWP4739" s="695"/>
      <c r="MWQ4739" s="692"/>
      <c r="MWR4739" s="695"/>
      <c r="MWS4739" s="692"/>
      <c r="MWT4739" s="695"/>
      <c r="MWU4739" s="692"/>
      <c r="MWV4739" s="695"/>
      <c r="MWW4739" s="692"/>
      <c r="MWX4739" s="695"/>
      <c r="MWY4739" s="692"/>
      <c r="MWZ4739" s="695"/>
      <c r="MXA4739" s="692"/>
      <c r="MXB4739" s="695"/>
      <c r="MXC4739" s="692"/>
      <c r="MXD4739" s="695"/>
      <c r="MXE4739" s="692"/>
      <c r="MXF4739" s="695"/>
      <c r="MXG4739" s="692"/>
      <c r="MXH4739" s="695"/>
      <c r="MXI4739" s="692"/>
      <c r="MXJ4739" s="695"/>
      <c r="MXK4739" s="692"/>
      <c r="MXL4739" s="695"/>
      <c r="MXM4739" s="692"/>
      <c r="MXN4739" s="695"/>
      <c r="MXO4739" s="692"/>
      <c r="MXP4739" s="695"/>
      <c r="MXQ4739" s="692"/>
      <c r="MXR4739" s="695"/>
      <c r="MXS4739" s="692"/>
      <c r="MXT4739" s="695"/>
      <c r="MXU4739" s="692"/>
      <c r="MXV4739" s="695"/>
      <c r="MXW4739" s="692"/>
      <c r="MXX4739" s="695"/>
      <c r="MXY4739" s="692"/>
      <c r="MXZ4739" s="695"/>
      <c r="MYA4739" s="692"/>
      <c r="MYB4739" s="695"/>
      <c r="MYC4739" s="692"/>
      <c r="MYD4739" s="695"/>
      <c r="MYE4739" s="692"/>
      <c r="MYF4739" s="695"/>
      <c r="MYG4739" s="692"/>
      <c r="MYH4739" s="695"/>
      <c r="MYI4739" s="692"/>
      <c r="MYJ4739" s="695"/>
      <c r="MYK4739" s="692"/>
      <c r="MYL4739" s="695"/>
      <c r="MYM4739" s="692"/>
      <c r="MYN4739" s="695"/>
      <c r="MYO4739" s="692"/>
      <c r="MYP4739" s="695"/>
      <c r="MYQ4739" s="692"/>
      <c r="MYR4739" s="695"/>
      <c r="MYS4739" s="692"/>
      <c r="MYT4739" s="695"/>
      <c r="MYU4739" s="692"/>
      <c r="MYV4739" s="695"/>
      <c r="MYW4739" s="692"/>
      <c r="MYX4739" s="695"/>
      <c r="MYY4739" s="692"/>
      <c r="MYZ4739" s="695"/>
      <c r="MZA4739" s="692"/>
      <c r="MZB4739" s="695"/>
      <c r="MZC4739" s="692"/>
      <c r="MZD4739" s="695"/>
      <c r="MZE4739" s="692"/>
      <c r="MZF4739" s="695"/>
      <c r="MZG4739" s="692"/>
      <c r="MZH4739" s="695"/>
      <c r="MZI4739" s="692"/>
      <c r="MZJ4739" s="695"/>
      <c r="MZK4739" s="692"/>
      <c r="MZL4739" s="695"/>
      <c r="MZM4739" s="692"/>
      <c r="MZN4739" s="695"/>
      <c r="MZO4739" s="692"/>
      <c r="MZP4739" s="695"/>
      <c r="MZQ4739" s="692"/>
      <c r="MZR4739" s="695"/>
      <c r="MZS4739" s="692"/>
      <c r="MZT4739" s="695"/>
      <c r="MZU4739" s="692"/>
      <c r="MZV4739" s="695"/>
      <c r="MZW4739" s="692"/>
      <c r="MZX4739" s="695"/>
      <c r="MZY4739" s="692"/>
      <c r="MZZ4739" s="695"/>
      <c r="NAA4739" s="692"/>
      <c r="NAB4739" s="695"/>
      <c r="NAC4739" s="692"/>
      <c r="NAD4739" s="695"/>
      <c r="NAE4739" s="692"/>
      <c r="NAF4739" s="695"/>
      <c r="NAG4739" s="692"/>
      <c r="NAH4739" s="695"/>
      <c r="NAI4739" s="692"/>
      <c r="NAJ4739" s="695"/>
      <c r="NAK4739" s="692"/>
      <c r="NAL4739" s="695"/>
      <c r="NAM4739" s="692"/>
      <c r="NAN4739" s="695"/>
      <c r="NAO4739" s="692"/>
      <c r="NAP4739" s="695"/>
      <c r="NAQ4739" s="692"/>
      <c r="NAR4739" s="695"/>
      <c r="NAS4739" s="692"/>
      <c r="NAT4739" s="695"/>
      <c r="NAU4739" s="692"/>
      <c r="NAV4739" s="695"/>
      <c r="NAW4739" s="692"/>
      <c r="NAX4739" s="695"/>
      <c r="NAY4739" s="692"/>
      <c r="NAZ4739" s="695"/>
      <c r="NBA4739" s="692"/>
      <c r="NBB4739" s="695"/>
      <c r="NBC4739" s="692"/>
      <c r="NBD4739" s="695"/>
      <c r="NBE4739" s="692"/>
      <c r="NBF4739" s="695"/>
      <c r="NBG4739" s="692"/>
      <c r="NBH4739" s="695"/>
      <c r="NBI4739" s="692"/>
      <c r="NBJ4739" s="695"/>
      <c r="NBK4739" s="692"/>
      <c r="NBL4739" s="695"/>
      <c r="NBM4739" s="692"/>
      <c r="NBN4739" s="695"/>
      <c r="NBO4739" s="692"/>
      <c r="NBP4739" s="695"/>
      <c r="NBQ4739" s="692"/>
      <c r="NBR4739" s="695"/>
      <c r="NBS4739" s="692"/>
      <c r="NBT4739" s="695"/>
      <c r="NBU4739" s="692"/>
      <c r="NBV4739" s="695"/>
      <c r="NBW4739" s="692"/>
      <c r="NBX4739" s="695"/>
      <c r="NBY4739" s="692"/>
      <c r="NBZ4739" s="695"/>
      <c r="NCA4739" s="692"/>
      <c r="NCB4739" s="695"/>
      <c r="NCC4739" s="692"/>
      <c r="NCD4739" s="695"/>
      <c r="NCE4739" s="692"/>
      <c r="NCF4739" s="695"/>
      <c r="NCG4739" s="692"/>
      <c r="NCH4739" s="695"/>
      <c r="NCI4739" s="692"/>
      <c r="NCJ4739" s="695"/>
      <c r="NCK4739" s="692"/>
      <c r="NCL4739" s="695"/>
      <c r="NCM4739" s="692"/>
      <c r="NCN4739" s="695"/>
      <c r="NCO4739" s="692"/>
      <c r="NCP4739" s="695"/>
      <c r="NCQ4739" s="692"/>
      <c r="NCR4739" s="695"/>
      <c r="NCS4739" s="692"/>
      <c r="NCT4739" s="695"/>
      <c r="NCU4739" s="692"/>
      <c r="NCV4739" s="695"/>
      <c r="NCW4739" s="692"/>
      <c r="NCX4739" s="695"/>
      <c r="NCY4739" s="692"/>
      <c r="NCZ4739" s="695"/>
      <c r="NDA4739" s="692"/>
      <c r="NDB4739" s="695"/>
      <c r="NDC4739" s="692"/>
      <c r="NDD4739" s="695"/>
      <c r="NDE4739" s="692"/>
      <c r="NDF4739" s="695"/>
      <c r="NDG4739" s="692"/>
      <c r="NDH4739" s="695"/>
      <c r="NDI4739" s="692"/>
      <c r="NDJ4739" s="695"/>
      <c r="NDK4739" s="692"/>
      <c r="NDL4739" s="695"/>
      <c r="NDM4739" s="692"/>
      <c r="NDN4739" s="695"/>
      <c r="NDO4739" s="692"/>
      <c r="NDP4739" s="695"/>
      <c r="NDQ4739" s="692"/>
      <c r="NDR4739" s="695"/>
      <c r="NDS4739" s="692"/>
      <c r="NDT4739" s="695"/>
      <c r="NDU4739" s="692"/>
      <c r="NDV4739" s="695"/>
      <c r="NDW4739" s="692"/>
      <c r="NDX4739" s="695"/>
      <c r="NDY4739" s="692"/>
      <c r="NDZ4739" s="695"/>
      <c r="NEA4739" s="692"/>
      <c r="NEB4739" s="695"/>
      <c r="NEC4739" s="692"/>
      <c r="NED4739" s="695"/>
      <c r="NEE4739" s="692"/>
      <c r="NEF4739" s="695"/>
      <c r="NEG4739" s="692"/>
      <c r="NEH4739" s="695"/>
      <c r="NEI4739" s="692"/>
      <c r="NEJ4739" s="695"/>
      <c r="NEK4739" s="692"/>
      <c r="NEL4739" s="695"/>
      <c r="NEM4739" s="692"/>
      <c r="NEN4739" s="695"/>
      <c r="NEO4739" s="692"/>
      <c r="NEP4739" s="695"/>
      <c r="NEQ4739" s="692"/>
      <c r="NER4739" s="695"/>
      <c r="NES4739" s="692"/>
      <c r="NET4739" s="695"/>
      <c r="NEU4739" s="692"/>
      <c r="NEV4739" s="695"/>
      <c r="NEW4739" s="692"/>
      <c r="NEX4739" s="695"/>
      <c r="NEY4739" s="692"/>
      <c r="NEZ4739" s="695"/>
      <c r="NFA4739" s="692"/>
      <c r="NFB4739" s="695"/>
      <c r="NFC4739" s="692"/>
      <c r="NFD4739" s="695"/>
      <c r="NFE4739" s="692"/>
      <c r="NFF4739" s="695"/>
      <c r="NFG4739" s="692"/>
      <c r="NFH4739" s="695"/>
      <c r="NFI4739" s="692"/>
      <c r="NFJ4739" s="695"/>
      <c r="NFK4739" s="692"/>
      <c r="NFL4739" s="695"/>
      <c r="NFM4739" s="692"/>
      <c r="NFN4739" s="695"/>
      <c r="NFO4739" s="692"/>
      <c r="NFP4739" s="695"/>
      <c r="NFQ4739" s="692"/>
      <c r="NFR4739" s="695"/>
      <c r="NFS4739" s="692"/>
      <c r="NFT4739" s="695"/>
      <c r="NFU4739" s="692"/>
      <c r="NFV4739" s="695"/>
      <c r="NFW4739" s="692"/>
      <c r="NFX4739" s="695"/>
      <c r="NFY4739" s="692"/>
      <c r="NFZ4739" s="695"/>
      <c r="NGA4739" s="692"/>
      <c r="NGB4739" s="695"/>
      <c r="NGC4739" s="692"/>
      <c r="NGD4739" s="695"/>
      <c r="NGE4739" s="692"/>
      <c r="NGF4739" s="695"/>
      <c r="NGG4739" s="692"/>
      <c r="NGH4739" s="695"/>
      <c r="NGI4739" s="692"/>
      <c r="NGJ4739" s="695"/>
      <c r="NGK4739" s="692"/>
      <c r="NGL4739" s="695"/>
      <c r="NGM4739" s="692"/>
      <c r="NGN4739" s="695"/>
      <c r="NGO4739" s="692"/>
      <c r="NGP4739" s="695"/>
      <c r="NGQ4739" s="692"/>
      <c r="NGR4739" s="695"/>
      <c r="NGS4739" s="692"/>
      <c r="NGT4739" s="695"/>
      <c r="NGU4739" s="692"/>
      <c r="NGV4739" s="695"/>
      <c r="NGW4739" s="692"/>
      <c r="NGX4739" s="695"/>
      <c r="NGY4739" s="692"/>
      <c r="NGZ4739" s="695"/>
      <c r="NHA4739" s="692"/>
      <c r="NHB4739" s="695"/>
      <c r="NHC4739" s="692"/>
      <c r="NHD4739" s="695"/>
      <c r="NHE4739" s="692"/>
      <c r="NHF4739" s="695"/>
      <c r="NHG4739" s="692"/>
      <c r="NHH4739" s="695"/>
      <c r="NHI4739" s="692"/>
      <c r="NHJ4739" s="695"/>
      <c r="NHK4739" s="692"/>
      <c r="NHL4739" s="695"/>
      <c r="NHM4739" s="692"/>
      <c r="NHN4739" s="695"/>
      <c r="NHO4739" s="692"/>
      <c r="NHP4739" s="695"/>
      <c r="NHQ4739" s="692"/>
      <c r="NHR4739" s="695"/>
      <c r="NHS4739" s="692"/>
      <c r="NHT4739" s="695"/>
      <c r="NHU4739" s="692"/>
      <c r="NHV4739" s="695"/>
      <c r="NHW4739" s="692"/>
      <c r="NHX4739" s="695"/>
      <c r="NHY4739" s="692"/>
      <c r="NHZ4739" s="695"/>
      <c r="NIA4739" s="692"/>
      <c r="NIB4739" s="695"/>
      <c r="NIC4739" s="692"/>
      <c r="NID4739" s="695"/>
      <c r="NIE4739" s="692"/>
      <c r="NIF4739" s="695"/>
      <c r="NIG4739" s="692"/>
      <c r="NIH4739" s="695"/>
      <c r="NII4739" s="692"/>
      <c r="NIJ4739" s="695"/>
      <c r="NIK4739" s="692"/>
      <c r="NIL4739" s="695"/>
      <c r="NIM4739" s="692"/>
      <c r="NIN4739" s="695"/>
      <c r="NIO4739" s="692"/>
      <c r="NIP4739" s="695"/>
      <c r="NIQ4739" s="692"/>
      <c r="NIR4739" s="695"/>
      <c r="NIS4739" s="692"/>
      <c r="NIT4739" s="695"/>
      <c r="NIU4739" s="692"/>
      <c r="NIV4739" s="695"/>
      <c r="NIW4739" s="692"/>
      <c r="NIX4739" s="695"/>
      <c r="NIY4739" s="692"/>
      <c r="NIZ4739" s="695"/>
      <c r="NJA4739" s="692"/>
      <c r="NJB4739" s="695"/>
      <c r="NJC4739" s="692"/>
      <c r="NJD4739" s="695"/>
      <c r="NJE4739" s="692"/>
      <c r="NJF4739" s="695"/>
      <c r="NJG4739" s="692"/>
      <c r="NJH4739" s="695"/>
      <c r="NJI4739" s="692"/>
      <c r="NJJ4739" s="695"/>
      <c r="NJK4739" s="692"/>
      <c r="NJL4739" s="695"/>
      <c r="NJM4739" s="692"/>
      <c r="NJN4739" s="695"/>
      <c r="NJO4739" s="692"/>
      <c r="NJP4739" s="695"/>
      <c r="NJQ4739" s="692"/>
      <c r="NJR4739" s="695"/>
      <c r="NJS4739" s="692"/>
      <c r="NJT4739" s="695"/>
      <c r="NJU4739" s="692"/>
      <c r="NJV4739" s="695"/>
      <c r="NJW4739" s="692"/>
      <c r="NJX4739" s="695"/>
      <c r="NJY4739" s="692"/>
      <c r="NJZ4739" s="695"/>
      <c r="NKA4739" s="692"/>
      <c r="NKB4739" s="695"/>
      <c r="NKC4739" s="692"/>
      <c r="NKD4739" s="695"/>
      <c r="NKE4739" s="692"/>
      <c r="NKF4739" s="695"/>
      <c r="NKG4739" s="692"/>
      <c r="NKH4739" s="695"/>
      <c r="NKI4739" s="692"/>
      <c r="NKJ4739" s="695"/>
      <c r="NKK4739" s="692"/>
      <c r="NKL4739" s="695"/>
      <c r="NKM4739" s="692"/>
      <c r="NKN4739" s="695"/>
      <c r="NKO4739" s="692"/>
      <c r="NKP4739" s="695"/>
      <c r="NKQ4739" s="692"/>
      <c r="NKR4739" s="695"/>
      <c r="NKS4739" s="692"/>
      <c r="NKT4739" s="695"/>
      <c r="NKU4739" s="692"/>
      <c r="NKV4739" s="695"/>
      <c r="NKW4739" s="692"/>
      <c r="NKX4739" s="695"/>
      <c r="NKY4739" s="692"/>
      <c r="NKZ4739" s="695"/>
      <c r="NLA4739" s="692"/>
      <c r="NLB4739" s="695"/>
      <c r="NLC4739" s="692"/>
      <c r="NLD4739" s="695"/>
      <c r="NLE4739" s="692"/>
      <c r="NLF4739" s="695"/>
      <c r="NLG4739" s="692"/>
      <c r="NLH4739" s="695"/>
      <c r="NLI4739" s="692"/>
      <c r="NLJ4739" s="695"/>
      <c r="NLK4739" s="692"/>
      <c r="NLL4739" s="695"/>
      <c r="NLM4739" s="692"/>
      <c r="NLN4739" s="695"/>
      <c r="NLO4739" s="692"/>
      <c r="NLP4739" s="695"/>
      <c r="NLQ4739" s="692"/>
      <c r="NLR4739" s="695"/>
      <c r="NLS4739" s="692"/>
      <c r="NLT4739" s="695"/>
      <c r="NLU4739" s="692"/>
      <c r="NLV4739" s="695"/>
      <c r="NLW4739" s="692"/>
      <c r="NLX4739" s="695"/>
      <c r="NLY4739" s="692"/>
      <c r="NLZ4739" s="695"/>
      <c r="NMA4739" s="692"/>
      <c r="NMB4739" s="695"/>
      <c r="NMC4739" s="692"/>
      <c r="NMD4739" s="695"/>
      <c r="NME4739" s="692"/>
      <c r="NMF4739" s="695"/>
      <c r="NMG4739" s="692"/>
      <c r="NMH4739" s="695"/>
      <c r="NMI4739" s="692"/>
      <c r="NMJ4739" s="695"/>
      <c r="NMK4739" s="692"/>
      <c r="NML4739" s="695"/>
      <c r="NMM4739" s="692"/>
      <c r="NMN4739" s="695"/>
      <c r="NMO4739" s="692"/>
      <c r="NMP4739" s="695"/>
      <c r="NMQ4739" s="692"/>
      <c r="NMR4739" s="695"/>
      <c r="NMS4739" s="692"/>
      <c r="NMT4739" s="695"/>
      <c r="NMU4739" s="692"/>
      <c r="NMV4739" s="695"/>
      <c r="NMW4739" s="692"/>
      <c r="NMX4739" s="695"/>
      <c r="NMY4739" s="692"/>
      <c r="NMZ4739" s="695"/>
      <c r="NNA4739" s="692"/>
      <c r="NNB4739" s="695"/>
      <c r="NNC4739" s="692"/>
      <c r="NND4739" s="695"/>
      <c r="NNE4739" s="692"/>
      <c r="NNF4739" s="695"/>
      <c r="NNG4739" s="692"/>
      <c r="NNH4739" s="695"/>
      <c r="NNI4739" s="692"/>
      <c r="NNJ4739" s="695"/>
      <c r="NNK4739" s="692"/>
      <c r="NNL4739" s="695"/>
      <c r="NNM4739" s="692"/>
      <c r="NNN4739" s="695"/>
      <c r="NNO4739" s="692"/>
      <c r="NNP4739" s="695"/>
      <c r="NNQ4739" s="692"/>
      <c r="NNR4739" s="695"/>
      <c r="NNS4739" s="692"/>
      <c r="NNT4739" s="695"/>
      <c r="NNU4739" s="692"/>
      <c r="NNV4739" s="695"/>
      <c r="NNW4739" s="692"/>
      <c r="NNX4739" s="695"/>
      <c r="NNY4739" s="692"/>
      <c r="NNZ4739" s="695"/>
      <c r="NOA4739" s="692"/>
      <c r="NOB4739" s="695"/>
      <c r="NOC4739" s="692"/>
      <c r="NOD4739" s="695"/>
      <c r="NOE4739" s="692"/>
      <c r="NOF4739" s="695"/>
      <c r="NOG4739" s="692"/>
      <c r="NOH4739" s="695"/>
      <c r="NOI4739" s="692"/>
      <c r="NOJ4739" s="695"/>
      <c r="NOK4739" s="692"/>
      <c r="NOL4739" s="695"/>
      <c r="NOM4739" s="692"/>
      <c r="NON4739" s="695"/>
      <c r="NOO4739" s="692"/>
      <c r="NOP4739" s="695"/>
      <c r="NOQ4739" s="692"/>
      <c r="NOR4739" s="695"/>
      <c r="NOS4739" s="692"/>
      <c r="NOT4739" s="695"/>
      <c r="NOU4739" s="692"/>
      <c r="NOV4739" s="695"/>
      <c r="NOW4739" s="692"/>
      <c r="NOX4739" s="695"/>
      <c r="NOY4739" s="692"/>
      <c r="NOZ4739" s="695"/>
      <c r="NPA4739" s="692"/>
      <c r="NPB4739" s="695"/>
      <c r="NPC4739" s="692"/>
      <c r="NPD4739" s="695"/>
      <c r="NPE4739" s="692"/>
      <c r="NPF4739" s="695"/>
      <c r="NPG4739" s="692"/>
      <c r="NPH4739" s="695"/>
      <c r="NPI4739" s="692"/>
      <c r="NPJ4739" s="695"/>
      <c r="NPK4739" s="692"/>
      <c r="NPL4739" s="695"/>
      <c r="NPM4739" s="692"/>
      <c r="NPN4739" s="695"/>
      <c r="NPO4739" s="692"/>
      <c r="NPP4739" s="695"/>
      <c r="NPQ4739" s="692"/>
      <c r="NPR4739" s="695"/>
      <c r="NPS4739" s="692"/>
      <c r="NPT4739" s="695"/>
      <c r="NPU4739" s="692"/>
      <c r="NPV4739" s="695"/>
      <c r="NPW4739" s="692"/>
      <c r="NPX4739" s="695"/>
      <c r="NPY4739" s="692"/>
      <c r="NPZ4739" s="695"/>
      <c r="NQA4739" s="692"/>
      <c r="NQB4739" s="695"/>
      <c r="NQC4739" s="692"/>
      <c r="NQD4739" s="695"/>
      <c r="NQE4739" s="692"/>
      <c r="NQF4739" s="695"/>
      <c r="NQG4739" s="692"/>
      <c r="NQH4739" s="695"/>
      <c r="NQI4739" s="692"/>
      <c r="NQJ4739" s="695"/>
      <c r="NQK4739" s="692"/>
      <c r="NQL4739" s="695"/>
      <c r="NQM4739" s="692"/>
      <c r="NQN4739" s="695"/>
      <c r="NQO4739" s="692"/>
      <c r="NQP4739" s="695"/>
      <c r="NQQ4739" s="692"/>
      <c r="NQR4739" s="695"/>
      <c r="NQS4739" s="692"/>
      <c r="NQT4739" s="695"/>
      <c r="NQU4739" s="692"/>
      <c r="NQV4739" s="695"/>
      <c r="NQW4739" s="692"/>
      <c r="NQX4739" s="695"/>
      <c r="NQY4739" s="692"/>
      <c r="NQZ4739" s="695"/>
      <c r="NRA4739" s="692"/>
      <c r="NRB4739" s="695"/>
      <c r="NRC4739" s="692"/>
      <c r="NRD4739" s="695"/>
      <c r="NRE4739" s="692"/>
      <c r="NRF4739" s="695"/>
      <c r="NRG4739" s="692"/>
      <c r="NRH4739" s="695"/>
      <c r="NRI4739" s="692"/>
      <c r="NRJ4739" s="695"/>
      <c r="NRK4739" s="692"/>
      <c r="NRL4739" s="695"/>
      <c r="NRM4739" s="692"/>
      <c r="NRN4739" s="695"/>
      <c r="NRO4739" s="692"/>
      <c r="NRP4739" s="695"/>
      <c r="NRQ4739" s="692"/>
      <c r="NRR4739" s="695"/>
      <c r="NRS4739" s="692"/>
      <c r="NRT4739" s="695"/>
      <c r="NRU4739" s="692"/>
      <c r="NRV4739" s="695"/>
      <c r="NRW4739" s="692"/>
      <c r="NRX4739" s="695"/>
      <c r="NRY4739" s="692"/>
      <c r="NRZ4739" s="695"/>
      <c r="NSA4739" s="692"/>
      <c r="NSB4739" s="695"/>
      <c r="NSC4739" s="692"/>
      <c r="NSD4739" s="695"/>
      <c r="NSE4739" s="692"/>
      <c r="NSF4739" s="695"/>
      <c r="NSG4739" s="692"/>
      <c r="NSH4739" s="695"/>
      <c r="NSI4739" s="692"/>
      <c r="NSJ4739" s="695"/>
      <c r="NSK4739" s="692"/>
      <c r="NSL4739" s="695"/>
      <c r="NSM4739" s="692"/>
      <c r="NSN4739" s="695"/>
      <c r="NSO4739" s="692"/>
      <c r="NSP4739" s="695"/>
      <c r="NSQ4739" s="692"/>
      <c r="NSR4739" s="695"/>
      <c r="NSS4739" s="692"/>
      <c r="NST4739" s="695"/>
      <c r="NSU4739" s="692"/>
      <c r="NSV4739" s="695"/>
      <c r="NSW4739" s="692"/>
      <c r="NSX4739" s="695"/>
      <c r="NSY4739" s="692"/>
      <c r="NSZ4739" s="695"/>
      <c r="NTA4739" s="692"/>
      <c r="NTB4739" s="695"/>
      <c r="NTC4739" s="692"/>
      <c r="NTD4739" s="695"/>
      <c r="NTE4739" s="692"/>
      <c r="NTF4739" s="695"/>
      <c r="NTG4739" s="692"/>
      <c r="NTH4739" s="695"/>
      <c r="NTI4739" s="692"/>
      <c r="NTJ4739" s="695"/>
      <c r="NTK4739" s="692"/>
      <c r="NTL4739" s="695"/>
      <c r="NTM4739" s="692"/>
      <c r="NTN4739" s="695"/>
      <c r="NTO4739" s="692"/>
      <c r="NTP4739" s="695"/>
      <c r="NTQ4739" s="692"/>
      <c r="NTR4739" s="695"/>
      <c r="NTS4739" s="692"/>
      <c r="NTT4739" s="695"/>
      <c r="NTU4739" s="692"/>
      <c r="NTV4739" s="695"/>
      <c r="NTW4739" s="692"/>
      <c r="NTX4739" s="695"/>
      <c r="NTY4739" s="692"/>
      <c r="NTZ4739" s="695"/>
      <c r="NUA4739" s="692"/>
      <c r="NUB4739" s="695"/>
      <c r="NUC4739" s="692"/>
      <c r="NUD4739" s="695"/>
      <c r="NUE4739" s="692"/>
      <c r="NUF4739" s="695"/>
      <c r="NUG4739" s="692"/>
      <c r="NUH4739" s="695"/>
      <c r="NUI4739" s="692"/>
      <c r="NUJ4739" s="695"/>
      <c r="NUK4739" s="692"/>
      <c r="NUL4739" s="695"/>
      <c r="NUM4739" s="692"/>
      <c r="NUN4739" s="695"/>
      <c r="NUO4739" s="692"/>
      <c r="NUP4739" s="695"/>
      <c r="NUQ4739" s="692"/>
      <c r="NUR4739" s="695"/>
      <c r="NUS4739" s="692"/>
      <c r="NUT4739" s="695"/>
      <c r="NUU4739" s="692"/>
      <c r="NUV4739" s="695"/>
      <c r="NUW4739" s="692"/>
      <c r="NUX4739" s="695"/>
      <c r="NUY4739" s="692"/>
      <c r="NUZ4739" s="695"/>
      <c r="NVA4739" s="692"/>
      <c r="NVB4739" s="695"/>
      <c r="NVC4739" s="692"/>
      <c r="NVD4739" s="695"/>
      <c r="NVE4739" s="692"/>
      <c r="NVF4739" s="695"/>
      <c r="NVG4739" s="692"/>
      <c r="NVH4739" s="695"/>
      <c r="NVI4739" s="692"/>
      <c r="NVJ4739" s="695"/>
      <c r="NVK4739" s="692"/>
      <c r="NVL4739" s="695"/>
      <c r="NVM4739" s="692"/>
      <c r="NVN4739" s="695"/>
      <c r="NVO4739" s="692"/>
      <c r="NVP4739" s="695"/>
      <c r="NVQ4739" s="692"/>
      <c r="NVR4739" s="695"/>
      <c r="NVS4739" s="692"/>
      <c r="NVT4739" s="695"/>
      <c r="NVU4739" s="692"/>
      <c r="NVV4739" s="695"/>
      <c r="NVW4739" s="692"/>
      <c r="NVX4739" s="695"/>
      <c r="NVY4739" s="692"/>
      <c r="NVZ4739" s="695"/>
      <c r="NWA4739" s="692"/>
      <c r="NWB4739" s="695"/>
      <c r="NWC4739" s="692"/>
      <c r="NWD4739" s="695"/>
      <c r="NWE4739" s="692"/>
      <c r="NWF4739" s="695"/>
      <c r="NWG4739" s="692"/>
      <c r="NWH4739" s="695"/>
      <c r="NWI4739" s="692"/>
      <c r="NWJ4739" s="695"/>
      <c r="NWK4739" s="692"/>
      <c r="NWL4739" s="695"/>
      <c r="NWM4739" s="692"/>
      <c r="NWN4739" s="695"/>
      <c r="NWO4739" s="692"/>
      <c r="NWP4739" s="695"/>
      <c r="NWQ4739" s="692"/>
      <c r="NWR4739" s="695"/>
      <c r="NWS4739" s="692"/>
      <c r="NWT4739" s="695"/>
      <c r="NWU4739" s="692"/>
      <c r="NWV4739" s="695"/>
      <c r="NWW4739" s="692"/>
      <c r="NWX4739" s="695"/>
      <c r="NWY4739" s="692"/>
      <c r="NWZ4739" s="695"/>
      <c r="NXA4739" s="692"/>
      <c r="NXB4739" s="695"/>
      <c r="NXC4739" s="692"/>
      <c r="NXD4739" s="695"/>
      <c r="NXE4739" s="692"/>
      <c r="NXF4739" s="695"/>
      <c r="NXG4739" s="692"/>
      <c r="NXH4739" s="695"/>
      <c r="NXI4739" s="692"/>
      <c r="NXJ4739" s="695"/>
      <c r="NXK4739" s="692"/>
      <c r="NXL4739" s="695"/>
      <c r="NXM4739" s="692"/>
      <c r="NXN4739" s="695"/>
      <c r="NXO4739" s="692"/>
      <c r="NXP4739" s="695"/>
      <c r="NXQ4739" s="692"/>
      <c r="NXR4739" s="695"/>
      <c r="NXS4739" s="692"/>
      <c r="NXT4739" s="695"/>
      <c r="NXU4739" s="692"/>
      <c r="NXV4739" s="695"/>
      <c r="NXW4739" s="692"/>
      <c r="NXX4739" s="695"/>
      <c r="NXY4739" s="692"/>
      <c r="NXZ4739" s="695"/>
      <c r="NYA4739" s="692"/>
      <c r="NYB4739" s="695"/>
      <c r="NYC4739" s="692"/>
      <c r="NYD4739" s="695"/>
      <c r="NYE4739" s="692"/>
      <c r="NYF4739" s="695"/>
      <c r="NYG4739" s="692"/>
      <c r="NYH4739" s="695"/>
      <c r="NYI4739" s="692"/>
      <c r="NYJ4739" s="695"/>
      <c r="NYK4739" s="692"/>
      <c r="NYL4739" s="695"/>
      <c r="NYM4739" s="692"/>
      <c r="NYN4739" s="695"/>
      <c r="NYO4739" s="692"/>
      <c r="NYP4739" s="695"/>
      <c r="NYQ4739" s="692"/>
      <c r="NYR4739" s="695"/>
      <c r="NYS4739" s="692"/>
      <c r="NYT4739" s="695"/>
      <c r="NYU4739" s="692"/>
      <c r="NYV4739" s="695"/>
      <c r="NYW4739" s="692"/>
      <c r="NYX4739" s="695"/>
      <c r="NYY4739" s="692"/>
      <c r="NYZ4739" s="695"/>
      <c r="NZA4739" s="692"/>
      <c r="NZB4739" s="695"/>
      <c r="NZC4739" s="692"/>
      <c r="NZD4739" s="695"/>
      <c r="NZE4739" s="692"/>
      <c r="NZF4739" s="695"/>
      <c r="NZG4739" s="692"/>
      <c r="NZH4739" s="695"/>
      <c r="NZI4739" s="692"/>
      <c r="NZJ4739" s="695"/>
      <c r="NZK4739" s="692"/>
      <c r="NZL4739" s="695"/>
      <c r="NZM4739" s="692"/>
      <c r="NZN4739" s="695"/>
      <c r="NZO4739" s="692"/>
      <c r="NZP4739" s="695"/>
      <c r="NZQ4739" s="692"/>
      <c r="NZR4739" s="695"/>
      <c r="NZS4739" s="692"/>
      <c r="NZT4739" s="695"/>
      <c r="NZU4739" s="692"/>
      <c r="NZV4739" s="695"/>
      <c r="NZW4739" s="692"/>
      <c r="NZX4739" s="695"/>
      <c r="NZY4739" s="692"/>
      <c r="NZZ4739" s="695"/>
      <c r="OAA4739" s="692"/>
      <c r="OAB4739" s="695"/>
      <c r="OAC4739" s="692"/>
      <c r="OAD4739" s="695"/>
      <c r="OAE4739" s="692"/>
      <c r="OAF4739" s="695"/>
      <c r="OAG4739" s="692"/>
      <c r="OAH4739" s="695"/>
      <c r="OAI4739" s="692"/>
      <c r="OAJ4739" s="695"/>
      <c r="OAK4739" s="692"/>
      <c r="OAL4739" s="695"/>
      <c r="OAM4739" s="692"/>
      <c r="OAN4739" s="695"/>
      <c r="OAO4739" s="692"/>
      <c r="OAP4739" s="695"/>
      <c r="OAQ4739" s="692"/>
      <c r="OAR4739" s="695"/>
      <c r="OAS4739" s="692"/>
      <c r="OAT4739" s="695"/>
      <c r="OAU4739" s="692"/>
      <c r="OAV4739" s="695"/>
      <c r="OAW4739" s="692"/>
      <c r="OAX4739" s="695"/>
      <c r="OAY4739" s="692"/>
      <c r="OAZ4739" s="695"/>
      <c r="OBA4739" s="692"/>
      <c r="OBB4739" s="695"/>
      <c r="OBC4739" s="692"/>
      <c r="OBD4739" s="695"/>
      <c r="OBE4739" s="692"/>
      <c r="OBF4739" s="695"/>
      <c r="OBG4739" s="692"/>
      <c r="OBH4739" s="695"/>
      <c r="OBI4739" s="692"/>
      <c r="OBJ4739" s="695"/>
      <c r="OBK4739" s="692"/>
      <c r="OBL4739" s="695"/>
      <c r="OBM4739" s="692"/>
      <c r="OBN4739" s="695"/>
      <c r="OBO4739" s="692"/>
      <c r="OBP4739" s="695"/>
      <c r="OBQ4739" s="692"/>
      <c r="OBR4739" s="695"/>
      <c r="OBS4739" s="692"/>
      <c r="OBT4739" s="695"/>
      <c r="OBU4739" s="692"/>
      <c r="OBV4739" s="695"/>
      <c r="OBW4739" s="692"/>
      <c r="OBX4739" s="695"/>
      <c r="OBY4739" s="692"/>
      <c r="OBZ4739" s="695"/>
      <c r="OCA4739" s="692"/>
      <c r="OCB4739" s="695"/>
      <c r="OCC4739" s="692"/>
      <c r="OCD4739" s="695"/>
      <c r="OCE4739" s="692"/>
      <c r="OCF4739" s="695"/>
      <c r="OCG4739" s="692"/>
      <c r="OCH4739" s="695"/>
      <c r="OCI4739" s="692"/>
      <c r="OCJ4739" s="695"/>
      <c r="OCK4739" s="692"/>
      <c r="OCL4739" s="695"/>
      <c r="OCM4739" s="692"/>
      <c r="OCN4739" s="695"/>
      <c r="OCO4739" s="692"/>
      <c r="OCP4739" s="695"/>
      <c r="OCQ4739" s="692"/>
      <c r="OCR4739" s="695"/>
      <c r="OCS4739" s="692"/>
      <c r="OCT4739" s="695"/>
      <c r="OCU4739" s="692"/>
      <c r="OCV4739" s="695"/>
      <c r="OCW4739" s="692"/>
      <c r="OCX4739" s="695"/>
      <c r="OCY4739" s="692"/>
      <c r="OCZ4739" s="695"/>
      <c r="ODA4739" s="692"/>
      <c r="ODB4739" s="695"/>
      <c r="ODC4739" s="692"/>
      <c r="ODD4739" s="695"/>
      <c r="ODE4739" s="692"/>
      <c r="ODF4739" s="695"/>
      <c r="ODG4739" s="692"/>
      <c r="ODH4739" s="695"/>
      <c r="ODI4739" s="692"/>
      <c r="ODJ4739" s="695"/>
      <c r="ODK4739" s="692"/>
      <c r="ODL4739" s="695"/>
      <c r="ODM4739" s="692"/>
      <c r="ODN4739" s="695"/>
      <c r="ODO4739" s="692"/>
      <c r="ODP4739" s="695"/>
      <c r="ODQ4739" s="692"/>
      <c r="ODR4739" s="695"/>
      <c r="ODS4739" s="692"/>
      <c r="ODT4739" s="695"/>
      <c r="ODU4739" s="692"/>
      <c r="ODV4739" s="695"/>
      <c r="ODW4739" s="692"/>
      <c r="ODX4739" s="695"/>
      <c r="ODY4739" s="692"/>
      <c r="ODZ4739" s="695"/>
      <c r="OEA4739" s="692"/>
      <c r="OEB4739" s="695"/>
      <c r="OEC4739" s="692"/>
      <c r="OED4739" s="695"/>
      <c r="OEE4739" s="692"/>
      <c r="OEF4739" s="695"/>
      <c r="OEG4739" s="692"/>
      <c r="OEH4739" s="695"/>
      <c r="OEI4739" s="692"/>
      <c r="OEJ4739" s="695"/>
      <c r="OEK4739" s="692"/>
      <c r="OEL4739" s="695"/>
      <c r="OEM4739" s="692"/>
      <c r="OEN4739" s="695"/>
      <c r="OEO4739" s="692"/>
      <c r="OEP4739" s="695"/>
      <c r="OEQ4739" s="692"/>
      <c r="OER4739" s="695"/>
      <c r="OES4739" s="692"/>
      <c r="OET4739" s="695"/>
      <c r="OEU4739" s="692"/>
      <c r="OEV4739" s="695"/>
      <c r="OEW4739" s="692"/>
      <c r="OEX4739" s="695"/>
      <c r="OEY4739" s="692"/>
      <c r="OEZ4739" s="695"/>
      <c r="OFA4739" s="692"/>
      <c r="OFB4739" s="695"/>
      <c r="OFC4739" s="692"/>
      <c r="OFD4739" s="695"/>
      <c r="OFE4739" s="692"/>
      <c r="OFF4739" s="695"/>
      <c r="OFG4739" s="692"/>
      <c r="OFH4739" s="695"/>
      <c r="OFI4739" s="692"/>
      <c r="OFJ4739" s="695"/>
      <c r="OFK4739" s="692"/>
      <c r="OFL4739" s="695"/>
      <c r="OFM4739" s="692"/>
      <c r="OFN4739" s="695"/>
      <c r="OFO4739" s="692"/>
      <c r="OFP4739" s="695"/>
      <c r="OFQ4739" s="692"/>
      <c r="OFR4739" s="695"/>
      <c r="OFS4739" s="692"/>
      <c r="OFT4739" s="695"/>
      <c r="OFU4739" s="692"/>
      <c r="OFV4739" s="695"/>
      <c r="OFW4739" s="692"/>
      <c r="OFX4739" s="695"/>
      <c r="OFY4739" s="692"/>
      <c r="OFZ4739" s="695"/>
      <c r="OGA4739" s="692"/>
      <c r="OGB4739" s="695"/>
      <c r="OGC4739" s="692"/>
      <c r="OGD4739" s="695"/>
      <c r="OGE4739" s="692"/>
      <c r="OGF4739" s="695"/>
      <c r="OGG4739" s="692"/>
      <c r="OGH4739" s="695"/>
      <c r="OGI4739" s="692"/>
      <c r="OGJ4739" s="695"/>
      <c r="OGK4739" s="692"/>
      <c r="OGL4739" s="695"/>
      <c r="OGM4739" s="692"/>
      <c r="OGN4739" s="695"/>
      <c r="OGO4739" s="692"/>
      <c r="OGP4739" s="695"/>
      <c r="OGQ4739" s="692"/>
      <c r="OGR4739" s="695"/>
      <c r="OGS4739" s="692"/>
      <c r="OGT4739" s="695"/>
      <c r="OGU4739" s="692"/>
      <c r="OGV4739" s="695"/>
      <c r="OGW4739" s="692"/>
      <c r="OGX4739" s="695"/>
      <c r="OGY4739" s="692"/>
      <c r="OGZ4739" s="695"/>
      <c r="OHA4739" s="692"/>
      <c r="OHB4739" s="695"/>
      <c r="OHC4739" s="692"/>
      <c r="OHD4739" s="695"/>
      <c r="OHE4739" s="692"/>
      <c r="OHF4739" s="695"/>
      <c r="OHG4739" s="692"/>
      <c r="OHH4739" s="695"/>
      <c r="OHI4739" s="692"/>
      <c r="OHJ4739" s="695"/>
      <c r="OHK4739" s="692"/>
      <c r="OHL4739" s="695"/>
      <c r="OHM4739" s="692"/>
      <c r="OHN4739" s="695"/>
      <c r="OHO4739" s="692"/>
      <c r="OHP4739" s="695"/>
      <c r="OHQ4739" s="692"/>
      <c r="OHR4739" s="695"/>
      <c r="OHS4739" s="692"/>
      <c r="OHT4739" s="695"/>
      <c r="OHU4739" s="692"/>
      <c r="OHV4739" s="695"/>
      <c r="OHW4739" s="692"/>
      <c r="OHX4739" s="695"/>
      <c r="OHY4739" s="692"/>
      <c r="OHZ4739" s="695"/>
      <c r="OIA4739" s="692"/>
      <c r="OIB4739" s="695"/>
      <c r="OIC4739" s="692"/>
      <c r="OID4739" s="695"/>
      <c r="OIE4739" s="692"/>
      <c r="OIF4739" s="695"/>
      <c r="OIG4739" s="692"/>
      <c r="OIH4739" s="695"/>
      <c r="OII4739" s="692"/>
      <c r="OIJ4739" s="695"/>
      <c r="OIK4739" s="692"/>
      <c r="OIL4739" s="695"/>
      <c r="OIM4739" s="692"/>
      <c r="OIN4739" s="695"/>
      <c r="OIO4739" s="692"/>
      <c r="OIP4739" s="695"/>
      <c r="OIQ4739" s="692"/>
      <c r="OIR4739" s="695"/>
      <c r="OIS4739" s="692"/>
      <c r="OIT4739" s="695"/>
      <c r="OIU4739" s="692"/>
      <c r="OIV4739" s="695"/>
      <c r="OIW4739" s="692"/>
      <c r="OIX4739" s="695"/>
      <c r="OIY4739" s="692"/>
      <c r="OIZ4739" s="695"/>
      <c r="OJA4739" s="692"/>
      <c r="OJB4739" s="695"/>
      <c r="OJC4739" s="692"/>
      <c r="OJD4739" s="695"/>
      <c r="OJE4739" s="692"/>
      <c r="OJF4739" s="695"/>
      <c r="OJG4739" s="692"/>
      <c r="OJH4739" s="695"/>
      <c r="OJI4739" s="692"/>
      <c r="OJJ4739" s="695"/>
      <c r="OJK4739" s="692"/>
      <c r="OJL4739" s="695"/>
      <c r="OJM4739" s="692"/>
      <c r="OJN4739" s="695"/>
      <c r="OJO4739" s="692"/>
      <c r="OJP4739" s="695"/>
      <c r="OJQ4739" s="692"/>
      <c r="OJR4739" s="695"/>
      <c r="OJS4739" s="692"/>
      <c r="OJT4739" s="695"/>
      <c r="OJU4739" s="692"/>
      <c r="OJV4739" s="695"/>
      <c r="OJW4739" s="692"/>
      <c r="OJX4739" s="695"/>
      <c r="OJY4739" s="692"/>
      <c r="OJZ4739" s="695"/>
      <c r="OKA4739" s="692"/>
      <c r="OKB4739" s="695"/>
      <c r="OKC4739" s="692"/>
      <c r="OKD4739" s="695"/>
      <c r="OKE4739" s="692"/>
      <c r="OKF4739" s="695"/>
      <c r="OKG4739" s="692"/>
      <c r="OKH4739" s="695"/>
      <c r="OKI4739" s="692"/>
      <c r="OKJ4739" s="695"/>
      <c r="OKK4739" s="692"/>
      <c r="OKL4739" s="695"/>
      <c r="OKM4739" s="692"/>
      <c r="OKN4739" s="695"/>
      <c r="OKO4739" s="692"/>
      <c r="OKP4739" s="695"/>
      <c r="OKQ4739" s="692"/>
      <c r="OKR4739" s="695"/>
      <c r="OKS4739" s="692"/>
      <c r="OKT4739" s="695"/>
      <c r="OKU4739" s="692"/>
      <c r="OKV4739" s="695"/>
      <c r="OKW4739" s="692"/>
      <c r="OKX4739" s="695"/>
      <c r="OKY4739" s="692"/>
      <c r="OKZ4739" s="695"/>
      <c r="OLA4739" s="692"/>
      <c r="OLB4739" s="695"/>
      <c r="OLC4739" s="692"/>
      <c r="OLD4739" s="695"/>
      <c r="OLE4739" s="692"/>
      <c r="OLF4739" s="695"/>
      <c r="OLG4739" s="692"/>
      <c r="OLH4739" s="695"/>
      <c r="OLI4739" s="692"/>
      <c r="OLJ4739" s="695"/>
      <c r="OLK4739" s="692"/>
      <c r="OLL4739" s="695"/>
      <c r="OLM4739" s="692"/>
      <c r="OLN4739" s="695"/>
      <c r="OLO4739" s="692"/>
      <c r="OLP4739" s="695"/>
      <c r="OLQ4739" s="692"/>
      <c r="OLR4739" s="695"/>
      <c r="OLS4739" s="692"/>
      <c r="OLT4739" s="695"/>
      <c r="OLU4739" s="692"/>
      <c r="OLV4739" s="695"/>
      <c r="OLW4739" s="692"/>
      <c r="OLX4739" s="695"/>
      <c r="OLY4739" s="692"/>
      <c r="OLZ4739" s="695"/>
      <c r="OMA4739" s="692"/>
      <c r="OMB4739" s="695"/>
      <c r="OMC4739" s="692"/>
      <c r="OMD4739" s="695"/>
      <c r="OME4739" s="692"/>
      <c r="OMF4739" s="695"/>
      <c r="OMG4739" s="692"/>
      <c r="OMH4739" s="695"/>
      <c r="OMI4739" s="692"/>
      <c r="OMJ4739" s="695"/>
      <c r="OMK4739" s="692"/>
      <c r="OML4739" s="695"/>
      <c r="OMM4739" s="692"/>
      <c r="OMN4739" s="695"/>
      <c r="OMO4739" s="692"/>
      <c r="OMP4739" s="695"/>
      <c r="OMQ4739" s="692"/>
      <c r="OMR4739" s="695"/>
      <c r="OMS4739" s="692"/>
      <c r="OMT4739" s="695"/>
      <c r="OMU4739" s="692"/>
      <c r="OMV4739" s="695"/>
      <c r="OMW4739" s="692"/>
      <c r="OMX4739" s="695"/>
      <c r="OMY4739" s="692"/>
      <c r="OMZ4739" s="695"/>
      <c r="ONA4739" s="692"/>
      <c r="ONB4739" s="695"/>
      <c r="ONC4739" s="692"/>
      <c r="OND4739" s="695"/>
      <c r="ONE4739" s="692"/>
      <c r="ONF4739" s="695"/>
      <c r="ONG4739" s="692"/>
      <c r="ONH4739" s="695"/>
      <c r="ONI4739" s="692"/>
      <c r="ONJ4739" s="695"/>
      <c r="ONK4739" s="692"/>
      <c r="ONL4739" s="695"/>
      <c r="ONM4739" s="692"/>
      <c r="ONN4739" s="695"/>
      <c r="ONO4739" s="692"/>
      <c r="ONP4739" s="695"/>
      <c r="ONQ4739" s="692"/>
      <c r="ONR4739" s="695"/>
      <c r="ONS4739" s="692"/>
      <c r="ONT4739" s="695"/>
      <c r="ONU4739" s="692"/>
      <c r="ONV4739" s="695"/>
      <c r="ONW4739" s="692"/>
      <c r="ONX4739" s="695"/>
      <c r="ONY4739" s="692"/>
      <c r="ONZ4739" s="695"/>
      <c r="OOA4739" s="692"/>
      <c r="OOB4739" s="695"/>
      <c r="OOC4739" s="692"/>
      <c r="OOD4739" s="695"/>
      <c r="OOE4739" s="692"/>
      <c r="OOF4739" s="695"/>
      <c r="OOG4739" s="692"/>
      <c r="OOH4739" s="695"/>
      <c r="OOI4739" s="692"/>
      <c r="OOJ4739" s="695"/>
      <c r="OOK4739" s="692"/>
      <c r="OOL4739" s="695"/>
      <c r="OOM4739" s="692"/>
      <c r="OON4739" s="695"/>
      <c r="OOO4739" s="692"/>
      <c r="OOP4739" s="695"/>
      <c r="OOQ4739" s="692"/>
      <c r="OOR4739" s="695"/>
      <c r="OOS4739" s="692"/>
      <c r="OOT4739" s="695"/>
      <c r="OOU4739" s="692"/>
      <c r="OOV4739" s="695"/>
      <c r="OOW4739" s="692"/>
      <c r="OOX4739" s="695"/>
      <c r="OOY4739" s="692"/>
      <c r="OOZ4739" s="695"/>
      <c r="OPA4739" s="692"/>
      <c r="OPB4739" s="695"/>
      <c r="OPC4739" s="692"/>
      <c r="OPD4739" s="695"/>
      <c r="OPE4739" s="692"/>
      <c r="OPF4739" s="695"/>
      <c r="OPG4739" s="692"/>
      <c r="OPH4739" s="695"/>
      <c r="OPI4739" s="692"/>
      <c r="OPJ4739" s="695"/>
      <c r="OPK4739" s="692"/>
      <c r="OPL4739" s="695"/>
      <c r="OPM4739" s="692"/>
      <c r="OPN4739" s="695"/>
      <c r="OPO4739" s="692"/>
      <c r="OPP4739" s="695"/>
      <c r="OPQ4739" s="692"/>
      <c r="OPR4739" s="695"/>
      <c r="OPS4739" s="692"/>
      <c r="OPT4739" s="695"/>
      <c r="OPU4739" s="692"/>
      <c r="OPV4739" s="695"/>
      <c r="OPW4739" s="692"/>
      <c r="OPX4739" s="695"/>
      <c r="OPY4739" s="692"/>
      <c r="OPZ4739" s="695"/>
      <c r="OQA4739" s="692"/>
      <c r="OQB4739" s="695"/>
      <c r="OQC4739" s="692"/>
      <c r="OQD4739" s="695"/>
      <c r="OQE4739" s="692"/>
      <c r="OQF4739" s="695"/>
      <c r="OQG4739" s="692"/>
      <c r="OQH4739" s="695"/>
      <c r="OQI4739" s="692"/>
      <c r="OQJ4739" s="695"/>
      <c r="OQK4739" s="692"/>
      <c r="OQL4739" s="695"/>
      <c r="OQM4739" s="692"/>
      <c r="OQN4739" s="695"/>
      <c r="OQO4739" s="692"/>
      <c r="OQP4739" s="695"/>
      <c r="OQQ4739" s="692"/>
      <c r="OQR4739" s="695"/>
      <c r="OQS4739" s="692"/>
      <c r="OQT4739" s="695"/>
      <c r="OQU4739" s="692"/>
      <c r="OQV4739" s="695"/>
      <c r="OQW4739" s="692"/>
      <c r="OQX4739" s="695"/>
      <c r="OQY4739" s="692"/>
      <c r="OQZ4739" s="695"/>
      <c r="ORA4739" s="692"/>
      <c r="ORB4739" s="695"/>
      <c r="ORC4739" s="692"/>
      <c r="ORD4739" s="695"/>
      <c r="ORE4739" s="692"/>
      <c r="ORF4739" s="695"/>
      <c r="ORG4739" s="692"/>
      <c r="ORH4739" s="695"/>
      <c r="ORI4739" s="692"/>
      <c r="ORJ4739" s="695"/>
      <c r="ORK4739" s="692"/>
      <c r="ORL4739" s="695"/>
      <c r="ORM4739" s="692"/>
      <c r="ORN4739" s="695"/>
      <c r="ORO4739" s="692"/>
      <c r="ORP4739" s="695"/>
      <c r="ORQ4739" s="692"/>
      <c r="ORR4739" s="695"/>
      <c r="ORS4739" s="692"/>
      <c r="ORT4739" s="695"/>
      <c r="ORU4739" s="692"/>
      <c r="ORV4739" s="695"/>
      <c r="ORW4739" s="692"/>
      <c r="ORX4739" s="695"/>
      <c r="ORY4739" s="692"/>
      <c r="ORZ4739" s="695"/>
      <c r="OSA4739" s="692"/>
      <c r="OSB4739" s="695"/>
      <c r="OSC4739" s="692"/>
      <c r="OSD4739" s="695"/>
      <c r="OSE4739" s="692"/>
      <c r="OSF4739" s="695"/>
      <c r="OSG4739" s="692"/>
      <c r="OSH4739" s="695"/>
      <c r="OSI4739" s="692"/>
      <c r="OSJ4739" s="695"/>
      <c r="OSK4739" s="692"/>
      <c r="OSL4739" s="695"/>
      <c r="OSM4739" s="692"/>
      <c r="OSN4739" s="695"/>
      <c r="OSO4739" s="692"/>
      <c r="OSP4739" s="695"/>
      <c r="OSQ4739" s="692"/>
      <c r="OSR4739" s="695"/>
      <c r="OSS4739" s="692"/>
      <c r="OST4739" s="695"/>
      <c r="OSU4739" s="692"/>
      <c r="OSV4739" s="695"/>
      <c r="OSW4739" s="692"/>
      <c r="OSX4739" s="695"/>
      <c r="OSY4739" s="692"/>
      <c r="OSZ4739" s="695"/>
      <c r="OTA4739" s="692"/>
      <c r="OTB4739" s="695"/>
      <c r="OTC4739" s="692"/>
      <c r="OTD4739" s="695"/>
      <c r="OTE4739" s="692"/>
      <c r="OTF4739" s="695"/>
      <c r="OTG4739" s="692"/>
      <c r="OTH4739" s="695"/>
      <c r="OTI4739" s="692"/>
      <c r="OTJ4739" s="695"/>
      <c r="OTK4739" s="692"/>
      <c r="OTL4739" s="695"/>
      <c r="OTM4739" s="692"/>
      <c r="OTN4739" s="695"/>
      <c r="OTO4739" s="692"/>
      <c r="OTP4739" s="695"/>
      <c r="OTQ4739" s="692"/>
      <c r="OTR4739" s="695"/>
      <c r="OTS4739" s="692"/>
      <c r="OTT4739" s="695"/>
      <c r="OTU4739" s="692"/>
      <c r="OTV4739" s="695"/>
      <c r="OTW4739" s="692"/>
      <c r="OTX4739" s="695"/>
      <c r="OTY4739" s="692"/>
      <c r="OTZ4739" s="695"/>
      <c r="OUA4739" s="692"/>
      <c r="OUB4739" s="695"/>
      <c r="OUC4739" s="692"/>
      <c r="OUD4739" s="695"/>
      <c r="OUE4739" s="692"/>
      <c r="OUF4739" s="695"/>
      <c r="OUG4739" s="692"/>
      <c r="OUH4739" s="695"/>
      <c r="OUI4739" s="692"/>
      <c r="OUJ4739" s="695"/>
      <c r="OUK4739" s="692"/>
      <c r="OUL4739" s="695"/>
      <c r="OUM4739" s="692"/>
      <c r="OUN4739" s="695"/>
      <c r="OUO4739" s="692"/>
      <c r="OUP4739" s="695"/>
      <c r="OUQ4739" s="692"/>
      <c r="OUR4739" s="695"/>
      <c r="OUS4739" s="692"/>
      <c r="OUT4739" s="695"/>
      <c r="OUU4739" s="692"/>
      <c r="OUV4739" s="695"/>
      <c r="OUW4739" s="692"/>
      <c r="OUX4739" s="695"/>
      <c r="OUY4739" s="692"/>
      <c r="OUZ4739" s="695"/>
      <c r="OVA4739" s="692"/>
      <c r="OVB4739" s="695"/>
      <c r="OVC4739" s="692"/>
      <c r="OVD4739" s="695"/>
      <c r="OVE4739" s="692"/>
      <c r="OVF4739" s="695"/>
      <c r="OVG4739" s="692"/>
      <c r="OVH4739" s="695"/>
      <c r="OVI4739" s="692"/>
      <c r="OVJ4739" s="695"/>
      <c r="OVK4739" s="692"/>
      <c r="OVL4739" s="695"/>
      <c r="OVM4739" s="692"/>
      <c r="OVN4739" s="695"/>
      <c r="OVO4739" s="692"/>
      <c r="OVP4739" s="695"/>
      <c r="OVQ4739" s="692"/>
      <c r="OVR4739" s="695"/>
      <c r="OVS4739" s="692"/>
      <c r="OVT4739" s="695"/>
      <c r="OVU4739" s="692"/>
      <c r="OVV4739" s="695"/>
      <c r="OVW4739" s="692"/>
      <c r="OVX4739" s="695"/>
      <c r="OVY4739" s="692"/>
      <c r="OVZ4739" s="695"/>
      <c r="OWA4739" s="692"/>
      <c r="OWB4739" s="695"/>
      <c r="OWC4739" s="692"/>
      <c r="OWD4739" s="695"/>
      <c r="OWE4739" s="692"/>
      <c r="OWF4739" s="695"/>
      <c r="OWG4739" s="692"/>
      <c r="OWH4739" s="695"/>
      <c r="OWI4739" s="692"/>
      <c r="OWJ4739" s="695"/>
      <c r="OWK4739" s="692"/>
      <c r="OWL4739" s="695"/>
      <c r="OWM4739" s="692"/>
      <c r="OWN4739" s="695"/>
      <c r="OWO4739" s="692"/>
      <c r="OWP4739" s="695"/>
      <c r="OWQ4739" s="692"/>
      <c r="OWR4739" s="695"/>
      <c r="OWS4739" s="692"/>
      <c r="OWT4739" s="695"/>
      <c r="OWU4739" s="692"/>
      <c r="OWV4739" s="695"/>
      <c r="OWW4739" s="692"/>
      <c r="OWX4739" s="695"/>
      <c r="OWY4739" s="692"/>
      <c r="OWZ4739" s="695"/>
      <c r="OXA4739" s="692"/>
      <c r="OXB4739" s="695"/>
      <c r="OXC4739" s="692"/>
      <c r="OXD4739" s="695"/>
      <c r="OXE4739" s="692"/>
      <c r="OXF4739" s="695"/>
      <c r="OXG4739" s="692"/>
      <c r="OXH4739" s="695"/>
      <c r="OXI4739" s="692"/>
      <c r="OXJ4739" s="695"/>
      <c r="OXK4739" s="692"/>
      <c r="OXL4739" s="695"/>
      <c r="OXM4739" s="692"/>
      <c r="OXN4739" s="695"/>
      <c r="OXO4739" s="692"/>
      <c r="OXP4739" s="695"/>
      <c r="OXQ4739" s="692"/>
      <c r="OXR4739" s="695"/>
      <c r="OXS4739" s="692"/>
      <c r="OXT4739" s="695"/>
      <c r="OXU4739" s="692"/>
      <c r="OXV4739" s="695"/>
      <c r="OXW4739" s="692"/>
      <c r="OXX4739" s="695"/>
      <c r="OXY4739" s="692"/>
      <c r="OXZ4739" s="695"/>
      <c r="OYA4739" s="692"/>
      <c r="OYB4739" s="695"/>
      <c r="OYC4739" s="692"/>
      <c r="OYD4739" s="695"/>
      <c r="OYE4739" s="692"/>
      <c r="OYF4739" s="695"/>
      <c r="OYG4739" s="692"/>
      <c r="OYH4739" s="695"/>
      <c r="OYI4739" s="692"/>
      <c r="OYJ4739" s="695"/>
      <c r="OYK4739" s="692"/>
      <c r="OYL4739" s="695"/>
      <c r="OYM4739" s="692"/>
      <c r="OYN4739" s="695"/>
      <c r="OYO4739" s="692"/>
      <c r="OYP4739" s="695"/>
      <c r="OYQ4739" s="692"/>
      <c r="OYR4739" s="695"/>
      <c r="OYS4739" s="692"/>
      <c r="OYT4739" s="695"/>
      <c r="OYU4739" s="692"/>
      <c r="OYV4739" s="695"/>
      <c r="OYW4739" s="692"/>
      <c r="OYX4739" s="695"/>
      <c r="OYY4739" s="692"/>
      <c r="OYZ4739" s="695"/>
      <c r="OZA4739" s="692"/>
      <c r="OZB4739" s="695"/>
      <c r="OZC4739" s="692"/>
      <c r="OZD4739" s="695"/>
      <c r="OZE4739" s="692"/>
      <c r="OZF4739" s="695"/>
      <c r="OZG4739" s="692"/>
      <c r="OZH4739" s="695"/>
      <c r="OZI4739" s="692"/>
      <c r="OZJ4739" s="695"/>
      <c r="OZK4739" s="692"/>
      <c r="OZL4739" s="695"/>
      <c r="OZM4739" s="692"/>
      <c r="OZN4739" s="695"/>
      <c r="OZO4739" s="692"/>
      <c r="OZP4739" s="695"/>
      <c r="OZQ4739" s="692"/>
      <c r="OZR4739" s="695"/>
      <c r="OZS4739" s="692"/>
      <c r="OZT4739" s="695"/>
      <c r="OZU4739" s="692"/>
      <c r="OZV4739" s="695"/>
      <c r="OZW4739" s="692"/>
      <c r="OZX4739" s="695"/>
      <c r="OZY4739" s="692"/>
      <c r="OZZ4739" s="695"/>
      <c r="PAA4739" s="692"/>
      <c r="PAB4739" s="695"/>
      <c r="PAC4739" s="692"/>
      <c r="PAD4739" s="695"/>
      <c r="PAE4739" s="692"/>
      <c r="PAF4739" s="695"/>
      <c r="PAG4739" s="692"/>
      <c r="PAH4739" s="695"/>
      <c r="PAI4739" s="692"/>
      <c r="PAJ4739" s="695"/>
      <c r="PAK4739" s="692"/>
      <c r="PAL4739" s="695"/>
      <c r="PAM4739" s="692"/>
      <c r="PAN4739" s="695"/>
      <c r="PAO4739" s="692"/>
      <c r="PAP4739" s="695"/>
      <c r="PAQ4739" s="692"/>
      <c r="PAR4739" s="695"/>
      <c r="PAS4739" s="692"/>
      <c r="PAT4739" s="695"/>
      <c r="PAU4739" s="692"/>
      <c r="PAV4739" s="695"/>
      <c r="PAW4739" s="692"/>
      <c r="PAX4739" s="695"/>
      <c r="PAY4739" s="692"/>
      <c r="PAZ4739" s="695"/>
      <c r="PBA4739" s="692"/>
      <c r="PBB4739" s="695"/>
      <c r="PBC4739" s="692"/>
      <c r="PBD4739" s="695"/>
      <c r="PBE4739" s="692"/>
      <c r="PBF4739" s="695"/>
      <c r="PBG4739" s="692"/>
      <c r="PBH4739" s="695"/>
      <c r="PBI4739" s="692"/>
      <c r="PBJ4739" s="695"/>
      <c r="PBK4739" s="692"/>
      <c r="PBL4739" s="695"/>
      <c r="PBM4739" s="692"/>
      <c r="PBN4739" s="695"/>
      <c r="PBO4739" s="692"/>
      <c r="PBP4739" s="695"/>
      <c r="PBQ4739" s="692"/>
      <c r="PBR4739" s="695"/>
      <c r="PBS4739" s="692"/>
      <c r="PBT4739" s="695"/>
      <c r="PBU4739" s="692"/>
      <c r="PBV4739" s="695"/>
      <c r="PBW4739" s="692"/>
      <c r="PBX4739" s="695"/>
      <c r="PBY4739" s="692"/>
      <c r="PBZ4739" s="695"/>
      <c r="PCA4739" s="692"/>
      <c r="PCB4739" s="695"/>
      <c r="PCC4739" s="692"/>
      <c r="PCD4739" s="695"/>
      <c r="PCE4739" s="692"/>
      <c r="PCF4739" s="695"/>
      <c r="PCG4739" s="692"/>
      <c r="PCH4739" s="695"/>
      <c r="PCI4739" s="692"/>
      <c r="PCJ4739" s="695"/>
      <c r="PCK4739" s="692"/>
      <c r="PCL4739" s="695"/>
      <c r="PCM4739" s="692"/>
      <c r="PCN4739" s="695"/>
      <c r="PCO4739" s="692"/>
      <c r="PCP4739" s="695"/>
      <c r="PCQ4739" s="692"/>
      <c r="PCR4739" s="695"/>
      <c r="PCS4739" s="692"/>
      <c r="PCT4739" s="695"/>
      <c r="PCU4739" s="692"/>
      <c r="PCV4739" s="695"/>
      <c r="PCW4739" s="692"/>
      <c r="PCX4739" s="695"/>
      <c r="PCY4739" s="692"/>
      <c r="PCZ4739" s="695"/>
      <c r="PDA4739" s="692"/>
      <c r="PDB4739" s="695"/>
      <c r="PDC4739" s="692"/>
      <c r="PDD4739" s="695"/>
      <c r="PDE4739" s="692"/>
      <c r="PDF4739" s="695"/>
      <c r="PDG4739" s="692"/>
      <c r="PDH4739" s="695"/>
      <c r="PDI4739" s="692"/>
      <c r="PDJ4739" s="695"/>
      <c r="PDK4739" s="692"/>
      <c r="PDL4739" s="695"/>
      <c r="PDM4739" s="692"/>
      <c r="PDN4739" s="695"/>
      <c r="PDO4739" s="692"/>
      <c r="PDP4739" s="695"/>
      <c r="PDQ4739" s="692"/>
      <c r="PDR4739" s="695"/>
      <c r="PDS4739" s="692"/>
      <c r="PDT4739" s="695"/>
      <c r="PDU4739" s="692"/>
      <c r="PDV4739" s="695"/>
      <c r="PDW4739" s="692"/>
      <c r="PDX4739" s="695"/>
      <c r="PDY4739" s="692"/>
      <c r="PDZ4739" s="695"/>
      <c r="PEA4739" s="692"/>
      <c r="PEB4739" s="695"/>
      <c r="PEC4739" s="692"/>
      <c r="PED4739" s="695"/>
      <c r="PEE4739" s="692"/>
      <c r="PEF4739" s="695"/>
      <c r="PEG4739" s="692"/>
      <c r="PEH4739" s="695"/>
      <c r="PEI4739" s="692"/>
      <c r="PEJ4739" s="695"/>
      <c r="PEK4739" s="692"/>
      <c r="PEL4739" s="695"/>
      <c r="PEM4739" s="692"/>
      <c r="PEN4739" s="695"/>
      <c r="PEO4739" s="692"/>
      <c r="PEP4739" s="695"/>
      <c r="PEQ4739" s="692"/>
      <c r="PER4739" s="695"/>
      <c r="PES4739" s="692"/>
      <c r="PET4739" s="695"/>
      <c r="PEU4739" s="692"/>
      <c r="PEV4739" s="695"/>
      <c r="PEW4739" s="692"/>
      <c r="PEX4739" s="695"/>
      <c r="PEY4739" s="692"/>
      <c r="PEZ4739" s="695"/>
      <c r="PFA4739" s="692"/>
      <c r="PFB4739" s="695"/>
      <c r="PFC4739" s="692"/>
      <c r="PFD4739" s="695"/>
      <c r="PFE4739" s="692"/>
      <c r="PFF4739" s="695"/>
      <c r="PFG4739" s="692"/>
      <c r="PFH4739" s="695"/>
      <c r="PFI4739" s="692"/>
      <c r="PFJ4739" s="695"/>
      <c r="PFK4739" s="692"/>
      <c r="PFL4739" s="695"/>
      <c r="PFM4739" s="692"/>
      <c r="PFN4739" s="695"/>
      <c r="PFO4739" s="692"/>
      <c r="PFP4739" s="695"/>
      <c r="PFQ4739" s="692"/>
      <c r="PFR4739" s="695"/>
      <c r="PFS4739" s="692"/>
      <c r="PFT4739" s="695"/>
      <c r="PFU4739" s="692"/>
      <c r="PFV4739" s="695"/>
      <c r="PFW4739" s="692"/>
      <c r="PFX4739" s="695"/>
      <c r="PFY4739" s="692"/>
      <c r="PFZ4739" s="695"/>
      <c r="PGA4739" s="692"/>
      <c r="PGB4739" s="695"/>
      <c r="PGC4739" s="692"/>
      <c r="PGD4739" s="695"/>
      <c r="PGE4739" s="692"/>
      <c r="PGF4739" s="695"/>
      <c r="PGG4739" s="692"/>
      <c r="PGH4739" s="695"/>
      <c r="PGI4739" s="692"/>
      <c r="PGJ4739" s="695"/>
      <c r="PGK4739" s="692"/>
      <c r="PGL4739" s="695"/>
      <c r="PGM4739" s="692"/>
      <c r="PGN4739" s="695"/>
      <c r="PGO4739" s="692"/>
      <c r="PGP4739" s="695"/>
      <c r="PGQ4739" s="692"/>
      <c r="PGR4739" s="695"/>
      <c r="PGS4739" s="692"/>
      <c r="PGT4739" s="695"/>
      <c r="PGU4739" s="692"/>
      <c r="PGV4739" s="695"/>
      <c r="PGW4739" s="692"/>
      <c r="PGX4739" s="695"/>
      <c r="PGY4739" s="692"/>
      <c r="PGZ4739" s="695"/>
      <c r="PHA4739" s="692"/>
      <c r="PHB4739" s="695"/>
      <c r="PHC4739" s="692"/>
      <c r="PHD4739" s="695"/>
      <c r="PHE4739" s="692"/>
      <c r="PHF4739" s="695"/>
      <c r="PHG4739" s="692"/>
      <c r="PHH4739" s="695"/>
      <c r="PHI4739" s="692"/>
      <c r="PHJ4739" s="695"/>
      <c r="PHK4739" s="692"/>
      <c r="PHL4739" s="695"/>
      <c r="PHM4739" s="692"/>
      <c r="PHN4739" s="695"/>
      <c r="PHO4739" s="692"/>
      <c r="PHP4739" s="695"/>
      <c r="PHQ4739" s="692"/>
      <c r="PHR4739" s="695"/>
      <c r="PHS4739" s="692"/>
      <c r="PHT4739" s="695"/>
      <c r="PHU4739" s="692"/>
      <c r="PHV4739" s="695"/>
      <c r="PHW4739" s="692"/>
      <c r="PHX4739" s="695"/>
      <c r="PHY4739" s="692"/>
      <c r="PHZ4739" s="695"/>
      <c r="PIA4739" s="692"/>
      <c r="PIB4739" s="695"/>
      <c r="PIC4739" s="692"/>
      <c r="PID4739" s="695"/>
      <c r="PIE4739" s="692"/>
      <c r="PIF4739" s="695"/>
      <c r="PIG4739" s="692"/>
      <c r="PIH4739" s="695"/>
      <c r="PII4739" s="692"/>
      <c r="PIJ4739" s="695"/>
      <c r="PIK4739" s="692"/>
      <c r="PIL4739" s="695"/>
      <c r="PIM4739" s="692"/>
      <c r="PIN4739" s="695"/>
      <c r="PIO4739" s="692"/>
      <c r="PIP4739" s="695"/>
      <c r="PIQ4739" s="692"/>
      <c r="PIR4739" s="695"/>
      <c r="PIS4739" s="692"/>
      <c r="PIT4739" s="695"/>
      <c r="PIU4739" s="692"/>
      <c r="PIV4739" s="695"/>
      <c r="PIW4739" s="692"/>
      <c r="PIX4739" s="695"/>
      <c r="PIY4739" s="692"/>
      <c r="PIZ4739" s="695"/>
      <c r="PJA4739" s="692"/>
      <c r="PJB4739" s="695"/>
      <c r="PJC4739" s="692"/>
      <c r="PJD4739" s="695"/>
      <c r="PJE4739" s="692"/>
      <c r="PJF4739" s="695"/>
      <c r="PJG4739" s="692"/>
      <c r="PJH4739" s="695"/>
      <c r="PJI4739" s="692"/>
      <c r="PJJ4739" s="695"/>
      <c r="PJK4739" s="692"/>
      <c r="PJL4739" s="695"/>
      <c r="PJM4739" s="692"/>
      <c r="PJN4739" s="695"/>
      <c r="PJO4739" s="692"/>
      <c r="PJP4739" s="695"/>
      <c r="PJQ4739" s="692"/>
      <c r="PJR4739" s="695"/>
      <c r="PJS4739" s="692"/>
      <c r="PJT4739" s="695"/>
      <c r="PJU4739" s="692"/>
      <c r="PJV4739" s="695"/>
      <c r="PJW4739" s="692"/>
      <c r="PJX4739" s="695"/>
      <c r="PJY4739" s="692"/>
      <c r="PJZ4739" s="695"/>
      <c r="PKA4739" s="692"/>
      <c r="PKB4739" s="695"/>
      <c r="PKC4739" s="692"/>
      <c r="PKD4739" s="695"/>
      <c r="PKE4739" s="692"/>
      <c r="PKF4739" s="695"/>
      <c r="PKG4739" s="692"/>
      <c r="PKH4739" s="695"/>
      <c r="PKI4739" s="692"/>
      <c r="PKJ4739" s="695"/>
      <c r="PKK4739" s="692"/>
      <c r="PKL4739" s="695"/>
      <c r="PKM4739" s="692"/>
      <c r="PKN4739" s="695"/>
      <c r="PKO4739" s="692"/>
      <c r="PKP4739" s="695"/>
      <c r="PKQ4739" s="692"/>
      <c r="PKR4739" s="695"/>
      <c r="PKS4739" s="692"/>
      <c r="PKT4739" s="695"/>
      <c r="PKU4739" s="692"/>
      <c r="PKV4739" s="695"/>
      <c r="PKW4739" s="692"/>
      <c r="PKX4739" s="695"/>
      <c r="PKY4739" s="692"/>
      <c r="PKZ4739" s="695"/>
      <c r="PLA4739" s="692"/>
      <c r="PLB4739" s="695"/>
      <c r="PLC4739" s="692"/>
      <c r="PLD4739" s="695"/>
      <c r="PLE4739" s="692"/>
      <c r="PLF4739" s="695"/>
      <c r="PLG4739" s="692"/>
      <c r="PLH4739" s="695"/>
      <c r="PLI4739" s="692"/>
      <c r="PLJ4739" s="695"/>
      <c r="PLK4739" s="692"/>
      <c r="PLL4739" s="695"/>
      <c r="PLM4739" s="692"/>
      <c r="PLN4739" s="695"/>
      <c r="PLO4739" s="692"/>
      <c r="PLP4739" s="695"/>
      <c r="PLQ4739" s="692"/>
      <c r="PLR4739" s="695"/>
      <c r="PLS4739" s="692"/>
      <c r="PLT4739" s="695"/>
      <c r="PLU4739" s="692"/>
      <c r="PLV4739" s="695"/>
      <c r="PLW4739" s="692"/>
      <c r="PLX4739" s="695"/>
      <c r="PLY4739" s="692"/>
      <c r="PLZ4739" s="695"/>
      <c r="PMA4739" s="692"/>
      <c r="PMB4739" s="695"/>
      <c r="PMC4739" s="692"/>
      <c r="PMD4739" s="695"/>
      <c r="PME4739" s="692"/>
      <c r="PMF4739" s="695"/>
      <c r="PMG4739" s="692"/>
      <c r="PMH4739" s="695"/>
      <c r="PMI4739" s="692"/>
      <c r="PMJ4739" s="695"/>
      <c r="PMK4739" s="692"/>
      <c r="PML4739" s="695"/>
      <c r="PMM4739" s="692"/>
      <c r="PMN4739" s="695"/>
      <c r="PMO4739" s="692"/>
      <c r="PMP4739" s="695"/>
      <c r="PMQ4739" s="692"/>
      <c r="PMR4739" s="695"/>
      <c r="PMS4739" s="692"/>
      <c r="PMT4739" s="695"/>
      <c r="PMU4739" s="692"/>
      <c r="PMV4739" s="695"/>
      <c r="PMW4739" s="692"/>
      <c r="PMX4739" s="695"/>
      <c r="PMY4739" s="692"/>
      <c r="PMZ4739" s="695"/>
      <c r="PNA4739" s="692"/>
      <c r="PNB4739" s="695"/>
      <c r="PNC4739" s="692"/>
      <c r="PND4739" s="695"/>
      <c r="PNE4739" s="692"/>
      <c r="PNF4739" s="695"/>
      <c r="PNG4739" s="692"/>
      <c r="PNH4739" s="695"/>
      <c r="PNI4739" s="692"/>
      <c r="PNJ4739" s="695"/>
      <c r="PNK4739" s="692"/>
      <c r="PNL4739" s="695"/>
      <c r="PNM4739" s="692"/>
      <c r="PNN4739" s="695"/>
      <c r="PNO4739" s="692"/>
      <c r="PNP4739" s="695"/>
      <c r="PNQ4739" s="692"/>
      <c r="PNR4739" s="695"/>
      <c r="PNS4739" s="692"/>
      <c r="PNT4739" s="695"/>
      <c r="PNU4739" s="692"/>
      <c r="PNV4739" s="695"/>
      <c r="PNW4739" s="692"/>
      <c r="PNX4739" s="695"/>
      <c r="PNY4739" s="692"/>
      <c r="PNZ4739" s="695"/>
      <c r="POA4739" s="692"/>
      <c r="POB4739" s="695"/>
      <c r="POC4739" s="692"/>
      <c r="POD4739" s="695"/>
      <c r="POE4739" s="692"/>
      <c r="POF4739" s="695"/>
      <c r="POG4739" s="692"/>
      <c r="POH4739" s="695"/>
      <c r="POI4739" s="692"/>
      <c r="POJ4739" s="695"/>
      <c r="POK4739" s="692"/>
      <c r="POL4739" s="695"/>
      <c r="POM4739" s="692"/>
      <c r="PON4739" s="695"/>
      <c r="POO4739" s="692"/>
      <c r="POP4739" s="695"/>
      <c r="POQ4739" s="692"/>
      <c r="POR4739" s="695"/>
      <c r="POS4739" s="692"/>
      <c r="POT4739" s="695"/>
      <c r="POU4739" s="692"/>
      <c r="POV4739" s="695"/>
      <c r="POW4739" s="692"/>
      <c r="POX4739" s="695"/>
      <c r="POY4739" s="692"/>
      <c r="POZ4739" s="695"/>
      <c r="PPA4739" s="692"/>
      <c r="PPB4739" s="695"/>
      <c r="PPC4739" s="692"/>
      <c r="PPD4739" s="695"/>
      <c r="PPE4739" s="692"/>
      <c r="PPF4739" s="695"/>
      <c r="PPG4739" s="692"/>
      <c r="PPH4739" s="695"/>
      <c r="PPI4739" s="692"/>
      <c r="PPJ4739" s="695"/>
      <c r="PPK4739" s="692"/>
      <c r="PPL4739" s="695"/>
      <c r="PPM4739" s="692"/>
      <c r="PPN4739" s="695"/>
      <c r="PPO4739" s="692"/>
      <c r="PPP4739" s="695"/>
      <c r="PPQ4739" s="692"/>
      <c r="PPR4739" s="695"/>
      <c r="PPS4739" s="692"/>
      <c r="PPT4739" s="695"/>
      <c r="PPU4739" s="692"/>
      <c r="PPV4739" s="695"/>
      <c r="PPW4739" s="692"/>
      <c r="PPX4739" s="695"/>
      <c r="PPY4739" s="692"/>
      <c r="PPZ4739" s="695"/>
      <c r="PQA4739" s="692"/>
      <c r="PQB4739" s="695"/>
      <c r="PQC4739" s="692"/>
      <c r="PQD4739" s="695"/>
      <c r="PQE4739" s="692"/>
      <c r="PQF4739" s="695"/>
      <c r="PQG4739" s="692"/>
      <c r="PQH4739" s="695"/>
      <c r="PQI4739" s="692"/>
      <c r="PQJ4739" s="695"/>
      <c r="PQK4739" s="692"/>
      <c r="PQL4739" s="695"/>
      <c r="PQM4739" s="692"/>
      <c r="PQN4739" s="695"/>
      <c r="PQO4739" s="692"/>
      <c r="PQP4739" s="695"/>
      <c r="PQQ4739" s="692"/>
      <c r="PQR4739" s="695"/>
      <c r="PQS4739" s="692"/>
      <c r="PQT4739" s="695"/>
      <c r="PQU4739" s="692"/>
      <c r="PQV4739" s="695"/>
      <c r="PQW4739" s="692"/>
      <c r="PQX4739" s="695"/>
      <c r="PQY4739" s="692"/>
      <c r="PQZ4739" s="695"/>
      <c r="PRA4739" s="692"/>
      <c r="PRB4739" s="695"/>
      <c r="PRC4739" s="692"/>
      <c r="PRD4739" s="695"/>
      <c r="PRE4739" s="692"/>
      <c r="PRF4739" s="695"/>
      <c r="PRG4739" s="692"/>
      <c r="PRH4739" s="695"/>
      <c r="PRI4739" s="692"/>
      <c r="PRJ4739" s="695"/>
      <c r="PRK4739" s="692"/>
      <c r="PRL4739" s="695"/>
      <c r="PRM4739" s="692"/>
      <c r="PRN4739" s="695"/>
      <c r="PRO4739" s="692"/>
      <c r="PRP4739" s="695"/>
      <c r="PRQ4739" s="692"/>
      <c r="PRR4739" s="695"/>
      <c r="PRS4739" s="692"/>
      <c r="PRT4739" s="695"/>
      <c r="PRU4739" s="692"/>
      <c r="PRV4739" s="695"/>
      <c r="PRW4739" s="692"/>
      <c r="PRX4739" s="695"/>
      <c r="PRY4739" s="692"/>
      <c r="PRZ4739" s="695"/>
      <c r="PSA4739" s="692"/>
      <c r="PSB4739" s="695"/>
      <c r="PSC4739" s="692"/>
      <c r="PSD4739" s="695"/>
      <c r="PSE4739" s="692"/>
      <c r="PSF4739" s="695"/>
      <c r="PSG4739" s="692"/>
      <c r="PSH4739" s="695"/>
      <c r="PSI4739" s="692"/>
      <c r="PSJ4739" s="695"/>
      <c r="PSK4739" s="692"/>
      <c r="PSL4739" s="695"/>
      <c r="PSM4739" s="692"/>
      <c r="PSN4739" s="695"/>
      <c r="PSO4739" s="692"/>
      <c r="PSP4739" s="695"/>
      <c r="PSQ4739" s="692"/>
      <c r="PSR4739" s="695"/>
      <c r="PSS4739" s="692"/>
      <c r="PST4739" s="695"/>
      <c r="PSU4739" s="692"/>
      <c r="PSV4739" s="695"/>
      <c r="PSW4739" s="692"/>
      <c r="PSX4739" s="695"/>
      <c r="PSY4739" s="692"/>
      <c r="PSZ4739" s="695"/>
      <c r="PTA4739" s="692"/>
      <c r="PTB4739" s="695"/>
      <c r="PTC4739" s="692"/>
      <c r="PTD4739" s="695"/>
      <c r="PTE4739" s="692"/>
      <c r="PTF4739" s="695"/>
      <c r="PTG4739" s="692"/>
      <c r="PTH4739" s="695"/>
      <c r="PTI4739" s="692"/>
      <c r="PTJ4739" s="695"/>
      <c r="PTK4739" s="692"/>
      <c r="PTL4739" s="695"/>
      <c r="PTM4739" s="692"/>
      <c r="PTN4739" s="695"/>
      <c r="PTO4739" s="692"/>
      <c r="PTP4739" s="695"/>
      <c r="PTQ4739" s="692"/>
      <c r="PTR4739" s="695"/>
      <c r="PTS4739" s="692"/>
      <c r="PTT4739" s="695"/>
      <c r="PTU4739" s="692"/>
      <c r="PTV4739" s="695"/>
      <c r="PTW4739" s="692"/>
      <c r="PTX4739" s="695"/>
      <c r="PTY4739" s="692"/>
      <c r="PTZ4739" s="695"/>
      <c r="PUA4739" s="692"/>
      <c r="PUB4739" s="695"/>
      <c r="PUC4739" s="692"/>
      <c r="PUD4739" s="695"/>
      <c r="PUE4739" s="692"/>
      <c r="PUF4739" s="695"/>
      <c r="PUG4739" s="692"/>
      <c r="PUH4739" s="695"/>
      <c r="PUI4739" s="692"/>
      <c r="PUJ4739" s="695"/>
      <c r="PUK4739" s="692"/>
      <c r="PUL4739" s="695"/>
      <c r="PUM4739" s="692"/>
      <c r="PUN4739" s="695"/>
      <c r="PUO4739" s="692"/>
      <c r="PUP4739" s="695"/>
      <c r="PUQ4739" s="692"/>
      <c r="PUR4739" s="695"/>
      <c r="PUS4739" s="692"/>
      <c r="PUT4739" s="695"/>
      <c r="PUU4739" s="692"/>
      <c r="PUV4739" s="695"/>
      <c r="PUW4739" s="692"/>
      <c r="PUX4739" s="695"/>
      <c r="PUY4739" s="692"/>
      <c r="PUZ4739" s="695"/>
      <c r="PVA4739" s="692"/>
      <c r="PVB4739" s="695"/>
      <c r="PVC4739" s="692"/>
      <c r="PVD4739" s="695"/>
      <c r="PVE4739" s="692"/>
      <c r="PVF4739" s="695"/>
      <c r="PVG4739" s="692"/>
      <c r="PVH4739" s="695"/>
      <c r="PVI4739" s="692"/>
      <c r="PVJ4739" s="695"/>
      <c r="PVK4739" s="692"/>
      <c r="PVL4739" s="695"/>
      <c r="PVM4739" s="692"/>
      <c r="PVN4739" s="695"/>
      <c r="PVO4739" s="692"/>
      <c r="PVP4739" s="695"/>
      <c r="PVQ4739" s="692"/>
      <c r="PVR4739" s="695"/>
      <c r="PVS4739" s="692"/>
      <c r="PVT4739" s="695"/>
      <c r="PVU4739" s="692"/>
      <c r="PVV4739" s="695"/>
      <c r="PVW4739" s="692"/>
      <c r="PVX4739" s="695"/>
      <c r="PVY4739" s="692"/>
      <c r="PVZ4739" s="695"/>
      <c r="PWA4739" s="692"/>
      <c r="PWB4739" s="695"/>
      <c r="PWC4739" s="692"/>
      <c r="PWD4739" s="695"/>
      <c r="PWE4739" s="692"/>
      <c r="PWF4739" s="695"/>
      <c r="PWG4739" s="692"/>
      <c r="PWH4739" s="695"/>
      <c r="PWI4739" s="692"/>
      <c r="PWJ4739" s="695"/>
      <c r="PWK4739" s="692"/>
      <c r="PWL4739" s="695"/>
      <c r="PWM4739" s="692"/>
      <c r="PWN4739" s="695"/>
      <c r="PWO4739" s="692"/>
      <c r="PWP4739" s="695"/>
      <c r="PWQ4739" s="692"/>
      <c r="PWR4739" s="695"/>
      <c r="PWS4739" s="692"/>
      <c r="PWT4739" s="695"/>
      <c r="PWU4739" s="692"/>
      <c r="PWV4739" s="695"/>
      <c r="PWW4739" s="692"/>
      <c r="PWX4739" s="695"/>
      <c r="PWY4739" s="692"/>
      <c r="PWZ4739" s="695"/>
      <c r="PXA4739" s="692"/>
      <c r="PXB4739" s="695"/>
      <c r="PXC4739" s="692"/>
      <c r="PXD4739" s="695"/>
      <c r="PXE4739" s="692"/>
      <c r="PXF4739" s="695"/>
      <c r="PXG4739" s="692"/>
      <c r="PXH4739" s="695"/>
      <c r="PXI4739" s="692"/>
      <c r="PXJ4739" s="695"/>
      <c r="PXK4739" s="692"/>
      <c r="PXL4739" s="695"/>
      <c r="PXM4739" s="692"/>
      <c r="PXN4739" s="695"/>
      <c r="PXO4739" s="692"/>
      <c r="PXP4739" s="695"/>
      <c r="PXQ4739" s="692"/>
      <c r="PXR4739" s="695"/>
      <c r="PXS4739" s="692"/>
      <c r="PXT4739" s="695"/>
      <c r="PXU4739" s="692"/>
      <c r="PXV4739" s="695"/>
      <c r="PXW4739" s="692"/>
      <c r="PXX4739" s="695"/>
      <c r="PXY4739" s="692"/>
      <c r="PXZ4739" s="695"/>
      <c r="PYA4739" s="692"/>
      <c r="PYB4739" s="695"/>
      <c r="PYC4739" s="692"/>
      <c r="PYD4739" s="695"/>
      <c r="PYE4739" s="692"/>
      <c r="PYF4739" s="695"/>
      <c r="PYG4739" s="692"/>
      <c r="PYH4739" s="695"/>
      <c r="PYI4739" s="692"/>
      <c r="PYJ4739" s="695"/>
      <c r="PYK4739" s="692"/>
      <c r="PYL4739" s="695"/>
      <c r="PYM4739" s="692"/>
      <c r="PYN4739" s="695"/>
      <c r="PYO4739" s="692"/>
      <c r="PYP4739" s="695"/>
      <c r="PYQ4739" s="692"/>
      <c r="PYR4739" s="695"/>
      <c r="PYS4739" s="692"/>
      <c r="PYT4739" s="695"/>
      <c r="PYU4739" s="692"/>
      <c r="PYV4739" s="695"/>
      <c r="PYW4739" s="692"/>
      <c r="PYX4739" s="695"/>
      <c r="PYY4739" s="692"/>
      <c r="PYZ4739" s="695"/>
      <c r="PZA4739" s="692"/>
      <c r="PZB4739" s="695"/>
      <c r="PZC4739" s="692"/>
      <c r="PZD4739" s="695"/>
      <c r="PZE4739" s="692"/>
      <c r="PZF4739" s="695"/>
      <c r="PZG4739" s="692"/>
      <c r="PZH4739" s="695"/>
      <c r="PZI4739" s="692"/>
      <c r="PZJ4739" s="695"/>
      <c r="PZK4739" s="692"/>
      <c r="PZL4739" s="695"/>
      <c r="PZM4739" s="692"/>
      <c r="PZN4739" s="695"/>
      <c r="PZO4739" s="692"/>
      <c r="PZP4739" s="695"/>
      <c r="PZQ4739" s="692"/>
      <c r="PZR4739" s="695"/>
      <c r="PZS4739" s="692"/>
      <c r="PZT4739" s="695"/>
      <c r="PZU4739" s="692"/>
      <c r="PZV4739" s="695"/>
      <c r="PZW4739" s="692"/>
      <c r="PZX4739" s="695"/>
      <c r="PZY4739" s="692"/>
      <c r="PZZ4739" s="695"/>
      <c r="QAA4739" s="692"/>
      <c r="QAB4739" s="695"/>
      <c r="QAC4739" s="692"/>
      <c r="QAD4739" s="695"/>
      <c r="QAE4739" s="692"/>
      <c r="QAF4739" s="695"/>
      <c r="QAG4739" s="692"/>
      <c r="QAH4739" s="695"/>
      <c r="QAI4739" s="692"/>
      <c r="QAJ4739" s="695"/>
      <c r="QAK4739" s="692"/>
      <c r="QAL4739" s="695"/>
      <c r="QAM4739" s="692"/>
      <c r="QAN4739" s="695"/>
      <c r="QAO4739" s="692"/>
      <c r="QAP4739" s="695"/>
      <c r="QAQ4739" s="692"/>
      <c r="QAR4739" s="695"/>
      <c r="QAS4739" s="692"/>
      <c r="QAT4739" s="695"/>
      <c r="QAU4739" s="692"/>
      <c r="QAV4739" s="695"/>
      <c r="QAW4739" s="692"/>
      <c r="QAX4739" s="695"/>
      <c r="QAY4739" s="692"/>
      <c r="QAZ4739" s="695"/>
      <c r="QBA4739" s="692"/>
      <c r="QBB4739" s="695"/>
      <c r="QBC4739" s="692"/>
      <c r="QBD4739" s="695"/>
      <c r="QBE4739" s="692"/>
      <c r="QBF4739" s="695"/>
      <c r="QBG4739" s="692"/>
      <c r="QBH4739" s="695"/>
      <c r="QBI4739" s="692"/>
      <c r="QBJ4739" s="695"/>
      <c r="QBK4739" s="692"/>
      <c r="QBL4739" s="695"/>
      <c r="QBM4739" s="692"/>
      <c r="QBN4739" s="695"/>
      <c r="QBO4739" s="692"/>
      <c r="QBP4739" s="695"/>
      <c r="QBQ4739" s="692"/>
      <c r="QBR4739" s="695"/>
      <c r="QBS4739" s="692"/>
      <c r="QBT4739" s="695"/>
      <c r="QBU4739" s="692"/>
      <c r="QBV4739" s="695"/>
      <c r="QBW4739" s="692"/>
      <c r="QBX4739" s="695"/>
      <c r="QBY4739" s="692"/>
      <c r="QBZ4739" s="695"/>
      <c r="QCA4739" s="692"/>
      <c r="QCB4739" s="695"/>
      <c r="QCC4739" s="692"/>
      <c r="QCD4739" s="695"/>
      <c r="QCE4739" s="692"/>
      <c r="QCF4739" s="695"/>
      <c r="QCG4739" s="692"/>
      <c r="QCH4739" s="695"/>
      <c r="QCI4739" s="692"/>
      <c r="QCJ4739" s="695"/>
      <c r="QCK4739" s="692"/>
      <c r="QCL4739" s="695"/>
      <c r="QCM4739" s="692"/>
      <c r="QCN4739" s="695"/>
      <c r="QCO4739" s="692"/>
      <c r="QCP4739" s="695"/>
      <c r="QCQ4739" s="692"/>
      <c r="QCR4739" s="695"/>
      <c r="QCS4739" s="692"/>
      <c r="QCT4739" s="695"/>
      <c r="QCU4739" s="692"/>
      <c r="QCV4739" s="695"/>
      <c r="QCW4739" s="692"/>
      <c r="QCX4739" s="695"/>
      <c r="QCY4739" s="692"/>
      <c r="QCZ4739" s="695"/>
      <c r="QDA4739" s="692"/>
      <c r="QDB4739" s="695"/>
      <c r="QDC4739" s="692"/>
      <c r="QDD4739" s="695"/>
      <c r="QDE4739" s="692"/>
      <c r="QDF4739" s="695"/>
      <c r="QDG4739" s="692"/>
      <c r="QDH4739" s="695"/>
      <c r="QDI4739" s="692"/>
      <c r="QDJ4739" s="695"/>
      <c r="QDK4739" s="692"/>
      <c r="QDL4739" s="695"/>
      <c r="QDM4739" s="692"/>
      <c r="QDN4739" s="695"/>
      <c r="QDO4739" s="692"/>
      <c r="QDP4739" s="695"/>
      <c r="QDQ4739" s="692"/>
      <c r="QDR4739" s="695"/>
      <c r="QDS4739" s="692"/>
      <c r="QDT4739" s="695"/>
      <c r="QDU4739" s="692"/>
      <c r="QDV4739" s="695"/>
      <c r="QDW4739" s="692"/>
      <c r="QDX4739" s="695"/>
      <c r="QDY4739" s="692"/>
      <c r="QDZ4739" s="695"/>
      <c r="QEA4739" s="692"/>
      <c r="QEB4739" s="695"/>
      <c r="QEC4739" s="692"/>
      <c r="QED4739" s="695"/>
      <c r="QEE4739" s="692"/>
      <c r="QEF4739" s="695"/>
      <c r="QEG4739" s="692"/>
      <c r="QEH4739" s="695"/>
      <c r="QEI4739" s="692"/>
      <c r="QEJ4739" s="695"/>
      <c r="QEK4739" s="692"/>
      <c r="QEL4739" s="695"/>
      <c r="QEM4739" s="692"/>
      <c r="QEN4739" s="695"/>
      <c r="QEO4739" s="692"/>
      <c r="QEP4739" s="695"/>
      <c r="QEQ4739" s="692"/>
      <c r="QER4739" s="695"/>
      <c r="QES4739" s="692"/>
      <c r="QET4739" s="695"/>
      <c r="QEU4739" s="692"/>
      <c r="QEV4739" s="695"/>
      <c r="QEW4739" s="692"/>
      <c r="QEX4739" s="695"/>
      <c r="QEY4739" s="692"/>
      <c r="QEZ4739" s="695"/>
      <c r="QFA4739" s="692"/>
      <c r="QFB4739" s="695"/>
      <c r="QFC4739" s="692"/>
      <c r="QFD4739" s="695"/>
      <c r="QFE4739" s="692"/>
      <c r="QFF4739" s="695"/>
      <c r="QFG4739" s="692"/>
      <c r="QFH4739" s="695"/>
      <c r="QFI4739" s="692"/>
      <c r="QFJ4739" s="695"/>
      <c r="QFK4739" s="692"/>
      <c r="QFL4739" s="695"/>
      <c r="QFM4739" s="692"/>
      <c r="QFN4739" s="695"/>
      <c r="QFO4739" s="692"/>
      <c r="QFP4739" s="695"/>
      <c r="QFQ4739" s="692"/>
      <c r="QFR4739" s="695"/>
      <c r="QFS4739" s="692"/>
      <c r="QFT4739" s="695"/>
      <c r="QFU4739" s="692"/>
      <c r="QFV4739" s="695"/>
      <c r="QFW4739" s="692"/>
      <c r="QFX4739" s="695"/>
      <c r="QFY4739" s="692"/>
      <c r="QFZ4739" s="695"/>
      <c r="QGA4739" s="692"/>
      <c r="QGB4739" s="695"/>
      <c r="QGC4739" s="692"/>
      <c r="QGD4739" s="695"/>
      <c r="QGE4739" s="692"/>
      <c r="QGF4739" s="695"/>
      <c r="QGG4739" s="692"/>
      <c r="QGH4739" s="695"/>
      <c r="QGI4739" s="692"/>
      <c r="QGJ4739" s="695"/>
      <c r="QGK4739" s="692"/>
      <c r="QGL4739" s="695"/>
      <c r="QGM4739" s="692"/>
      <c r="QGN4739" s="695"/>
      <c r="QGO4739" s="692"/>
      <c r="QGP4739" s="695"/>
      <c r="QGQ4739" s="692"/>
      <c r="QGR4739" s="695"/>
      <c r="QGS4739" s="692"/>
      <c r="QGT4739" s="695"/>
      <c r="QGU4739" s="692"/>
      <c r="QGV4739" s="695"/>
      <c r="QGW4739" s="692"/>
      <c r="QGX4739" s="695"/>
      <c r="QGY4739" s="692"/>
      <c r="QGZ4739" s="695"/>
      <c r="QHA4739" s="692"/>
      <c r="QHB4739" s="695"/>
      <c r="QHC4739" s="692"/>
      <c r="QHD4739" s="695"/>
      <c r="QHE4739" s="692"/>
      <c r="QHF4739" s="695"/>
      <c r="QHG4739" s="692"/>
      <c r="QHH4739" s="695"/>
      <c r="QHI4739" s="692"/>
      <c r="QHJ4739" s="695"/>
      <c r="QHK4739" s="692"/>
      <c r="QHL4739" s="695"/>
      <c r="QHM4739" s="692"/>
      <c r="QHN4739" s="695"/>
      <c r="QHO4739" s="692"/>
      <c r="QHP4739" s="695"/>
      <c r="QHQ4739" s="692"/>
      <c r="QHR4739" s="695"/>
      <c r="QHS4739" s="692"/>
      <c r="QHT4739" s="695"/>
      <c r="QHU4739" s="692"/>
      <c r="QHV4739" s="695"/>
      <c r="QHW4739" s="692"/>
      <c r="QHX4739" s="695"/>
      <c r="QHY4739" s="692"/>
      <c r="QHZ4739" s="695"/>
      <c r="QIA4739" s="692"/>
      <c r="QIB4739" s="695"/>
      <c r="QIC4739" s="692"/>
      <c r="QID4739" s="695"/>
      <c r="QIE4739" s="692"/>
      <c r="QIF4739" s="695"/>
      <c r="QIG4739" s="692"/>
      <c r="QIH4739" s="695"/>
      <c r="QII4739" s="692"/>
      <c r="QIJ4739" s="695"/>
      <c r="QIK4739" s="692"/>
      <c r="QIL4739" s="695"/>
      <c r="QIM4739" s="692"/>
      <c r="QIN4739" s="695"/>
      <c r="QIO4739" s="692"/>
      <c r="QIP4739" s="695"/>
      <c r="QIQ4739" s="692"/>
      <c r="QIR4739" s="695"/>
      <c r="QIS4739" s="692"/>
      <c r="QIT4739" s="695"/>
      <c r="QIU4739" s="692"/>
      <c r="QIV4739" s="695"/>
      <c r="QIW4739" s="692"/>
      <c r="QIX4739" s="695"/>
      <c r="QIY4739" s="692"/>
      <c r="QIZ4739" s="695"/>
      <c r="QJA4739" s="692"/>
      <c r="QJB4739" s="695"/>
      <c r="QJC4739" s="692"/>
      <c r="QJD4739" s="695"/>
      <c r="QJE4739" s="692"/>
      <c r="QJF4739" s="695"/>
      <c r="QJG4739" s="692"/>
      <c r="QJH4739" s="695"/>
      <c r="QJI4739" s="692"/>
      <c r="QJJ4739" s="695"/>
      <c r="QJK4739" s="692"/>
      <c r="QJL4739" s="695"/>
      <c r="QJM4739" s="692"/>
      <c r="QJN4739" s="695"/>
      <c r="QJO4739" s="692"/>
      <c r="QJP4739" s="695"/>
      <c r="QJQ4739" s="692"/>
      <c r="QJR4739" s="695"/>
      <c r="QJS4739" s="692"/>
      <c r="QJT4739" s="695"/>
      <c r="QJU4739" s="692"/>
      <c r="QJV4739" s="695"/>
      <c r="QJW4739" s="692"/>
      <c r="QJX4739" s="695"/>
      <c r="QJY4739" s="692"/>
      <c r="QJZ4739" s="695"/>
      <c r="QKA4739" s="692"/>
      <c r="QKB4739" s="695"/>
      <c r="QKC4739" s="692"/>
      <c r="QKD4739" s="695"/>
      <c r="QKE4739" s="692"/>
      <c r="QKF4739" s="695"/>
      <c r="QKG4739" s="692"/>
      <c r="QKH4739" s="695"/>
      <c r="QKI4739" s="692"/>
      <c r="QKJ4739" s="695"/>
      <c r="QKK4739" s="692"/>
      <c r="QKL4739" s="695"/>
      <c r="QKM4739" s="692"/>
      <c r="QKN4739" s="695"/>
      <c r="QKO4739" s="692"/>
      <c r="QKP4739" s="695"/>
      <c r="QKQ4739" s="692"/>
      <c r="QKR4739" s="695"/>
      <c r="QKS4739" s="692"/>
      <c r="QKT4739" s="695"/>
      <c r="QKU4739" s="692"/>
      <c r="QKV4739" s="695"/>
      <c r="QKW4739" s="692"/>
      <c r="QKX4739" s="695"/>
      <c r="QKY4739" s="692"/>
      <c r="QKZ4739" s="695"/>
      <c r="QLA4739" s="692"/>
      <c r="QLB4739" s="695"/>
      <c r="QLC4739" s="692"/>
      <c r="QLD4739" s="695"/>
      <c r="QLE4739" s="692"/>
      <c r="QLF4739" s="695"/>
      <c r="QLG4739" s="692"/>
      <c r="QLH4739" s="695"/>
      <c r="QLI4739" s="692"/>
      <c r="QLJ4739" s="695"/>
      <c r="QLK4739" s="692"/>
      <c r="QLL4739" s="695"/>
      <c r="QLM4739" s="692"/>
      <c r="QLN4739" s="695"/>
      <c r="QLO4739" s="692"/>
      <c r="QLP4739" s="695"/>
      <c r="QLQ4739" s="692"/>
      <c r="QLR4739" s="695"/>
      <c r="QLS4739" s="692"/>
      <c r="QLT4739" s="695"/>
      <c r="QLU4739" s="692"/>
      <c r="QLV4739" s="695"/>
      <c r="QLW4739" s="692"/>
      <c r="QLX4739" s="695"/>
      <c r="QLY4739" s="692"/>
      <c r="QLZ4739" s="695"/>
      <c r="QMA4739" s="692"/>
      <c r="QMB4739" s="695"/>
      <c r="QMC4739" s="692"/>
      <c r="QMD4739" s="695"/>
      <c r="QME4739" s="692"/>
      <c r="QMF4739" s="695"/>
      <c r="QMG4739" s="692"/>
      <c r="QMH4739" s="695"/>
      <c r="QMI4739" s="692"/>
      <c r="QMJ4739" s="695"/>
      <c r="QMK4739" s="692"/>
      <c r="QML4739" s="695"/>
      <c r="QMM4739" s="692"/>
      <c r="QMN4739" s="695"/>
      <c r="QMO4739" s="692"/>
      <c r="QMP4739" s="695"/>
      <c r="QMQ4739" s="692"/>
      <c r="QMR4739" s="695"/>
      <c r="QMS4739" s="692"/>
      <c r="QMT4739" s="695"/>
      <c r="QMU4739" s="692"/>
      <c r="QMV4739" s="695"/>
      <c r="QMW4739" s="692"/>
      <c r="QMX4739" s="695"/>
      <c r="QMY4739" s="692"/>
      <c r="QMZ4739" s="695"/>
      <c r="QNA4739" s="692"/>
      <c r="QNB4739" s="695"/>
      <c r="QNC4739" s="692"/>
      <c r="QND4739" s="695"/>
      <c r="QNE4739" s="692"/>
      <c r="QNF4739" s="695"/>
      <c r="QNG4739" s="692"/>
      <c r="QNH4739" s="695"/>
      <c r="QNI4739" s="692"/>
      <c r="QNJ4739" s="695"/>
      <c r="QNK4739" s="692"/>
      <c r="QNL4739" s="695"/>
      <c r="QNM4739" s="692"/>
      <c r="QNN4739" s="695"/>
      <c r="QNO4739" s="692"/>
      <c r="QNP4739" s="695"/>
      <c r="QNQ4739" s="692"/>
      <c r="QNR4739" s="695"/>
      <c r="QNS4739" s="692"/>
      <c r="QNT4739" s="695"/>
      <c r="QNU4739" s="692"/>
      <c r="QNV4739" s="695"/>
      <c r="QNW4739" s="692"/>
      <c r="QNX4739" s="695"/>
      <c r="QNY4739" s="692"/>
      <c r="QNZ4739" s="695"/>
      <c r="QOA4739" s="692"/>
      <c r="QOB4739" s="695"/>
      <c r="QOC4739" s="692"/>
      <c r="QOD4739" s="695"/>
      <c r="QOE4739" s="692"/>
      <c r="QOF4739" s="695"/>
      <c r="QOG4739" s="692"/>
      <c r="QOH4739" s="695"/>
      <c r="QOI4739" s="692"/>
      <c r="QOJ4739" s="695"/>
      <c r="QOK4739" s="692"/>
      <c r="QOL4739" s="695"/>
      <c r="QOM4739" s="692"/>
      <c r="QON4739" s="695"/>
      <c r="QOO4739" s="692"/>
      <c r="QOP4739" s="695"/>
      <c r="QOQ4739" s="692"/>
      <c r="QOR4739" s="695"/>
      <c r="QOS4739" s="692"/>
      <c r="QOT4739" s="695"/>
      <c r="QOU4739" s="692"/>
      <c r="QOV4739" s="695"/>
      <c r="QOW4739" s="692"/>
      <c r="QOX4739" s="695"/>
      <c r="QOY4739" s="692"/>
      <c r="QOZ4739" s="695"/>
      <c r="QPA4739" s="692"/>
      <c r="QPB4739" s="695"/>
      <c r="QPC4739" s="692"/>
      <c r="QPD4739" s="695"/>
      <c r="QPE4739" s="692"/>
      <c r="QPF4739" s="695"/>
      <c r="QPG4739" s="692"/>
      <c r="QPH4739" s="695"/>
      <c r="QPI4739" s="692"/>
      <c r="QPJ4739" s="695"/>
      <c r="QPK4739" s="692"/>
      <c r="QPL4739" s="695"/>
      <c r="QPM4739" s="692"/>
      <c r="QPN4739" s="695"/>
      <c r="QPO4739" s="692"/>
      <c r="QPP4739" s="695"/>
      <c r="QPQ4739" s="692"/>
      <c r="QPR4739" s="695"/>
      <c r="QPS4739" s="692"/>
      <c r="QPT4739" s="695"/>
      <c r="QPU4739" s="692"/>
      <c r="QPV4739" s="695"/>
      <c r="QPW4739" s="692"/>
      <c r="QPX4739" s="695"/>
      <c r="QPY4739" s="692"/>
      <c r="QPZ4739" s="695"/>
      <c r="QQA4739" s="692"/>
      <c r="QQB4739" s="695"/>
      <c r="QQC4739" s="692"/>
      <c r="QQD4739" s="695"/>
      <c r="QQE4739" s="692"/>
      <c r="QQF4739" s="695"/>
      <c r="QQG4739" s="692"/>
      <c r="QQH4739" s="695"/>
      <c r="QQI4739" s="692"/>
      <c r="QQJ4739" s="695"/>
      <c r="QQK4739" s="692"/>
      <c r="QQL4739" s="695"/>
      <c r="QQM4739" s="692"/>
      <c r="QQN4739" s="695"/>
      <c r="QQO4739" s="692"/>
      <c r="QQP4739" s="695"/>
      <c r="QQQ4739" s="692"/>
      <c r="QQR4739" s="695"/>
      <c r="QQS4739" s="692"/>
      <c r="QQT4739" s="695"/>
      <c r="QQU4739" s="692"/>
      <c r="QQV4739" s="695"/>
      <c r="QQW4739" s="692"/>
      <c r="QQX4739" s="695"/>
      <c r="QQY4739" s="692"/>
      <c r="QQZ4739" s="695"/>
      <c r="QRA4739" s="692"/>
      <c r="QRB4739" s="695"/>
      <c r="QRC4739" s="692"/>
      <c r="QRD4739" s="695"/>
      <c r="QRE4739" s="692"/>
      <c r="QRF4739" s="695"/>
      <c r="QRG4739" s="692"/>
      <c r="QRH4739" s="695"/>
      <c r="QRI4739" s="692"/>
      <c r="QRJ4739" s="695"/>
      <c r="QRK4739" s="692"/>
      <c r="QRL4739" s="695"/>
      <c r="QRM4739" s="692"/>
      <c r="QRN4739" s="695"/>
      <c r="QRO4739" s="692"/>
      <c r="QRP4739" s="695"/>
      <c r="QRQ4739" s="692"/>
      <c r="QRR4739" s="695"/>
      <c r="QRS4739" s="692"/>
      <c r="QRT4739" s="695"/>
      <c r="QRU4739" s="692"/>
      <c r="QRV4739" s="695"/>
      <c r="QRW4739" s="692"/>
      <c r="QRX4739" s="695"/>
      <c r="QRY4739" s="692"/>
      <c r="QRZ4739" s="695"/>
      <c r="QSA4739" s="692"/>
      <c r="QSB4739" s="695"/>
      <c r="QSC4739" s="692"/>
      <c r="QSD4739" s="695"/>
      <c r="QSE4739" s="692"/>
      <c r="QSF4739" s="695"/>
      <c r="QSG4739" s="692"/>
      <c r="QSH4739" s="695"/>
      <c r="QSI4739" s="692"/>
      <c r="QSJ4739" s="695"/>
      <c r="QSK4739" s="692"/>
      <c r="QSL4739" s="695"/>
      <c r="QSM4739" s="692"/>
      <c r="QSN4739" s="695"/>
      <c r="QSO4739" s="692"/>
      <c r="QSP4739" s="695"/>
      <c r="QSQ4739" s="692"/>
      <c r="QSR4739" s="695"/>
      <c r="QSS4739" s="692"/>
      <c r="QST4739" s="695"/>
      <c r="QSU4739" s="692"/>
      <c r="QSV4739" s="695"/>
      <c r="QSW4739" s="692"/>
      <c r="QSX4739" s="695"/>
      <c r="QSY4739" s="692"/>
      <c r="QSZ4739" s="695"/>
      <c r="QTA4739" s="692"/>
      <c r="QTB4739" s="695"/>
      <c r="QTC4739" s="692"/>
      <c r="QTD4739" s="695"/>
      <c r="QTE4739" s="692"/>
      <c r="QTF4739" s="695"/>
      <c r="QTG4739" s="692"/>
      <c r="QTH4739" s="695"/>
      <c r="QTI4739" s="692"/>
      <c r="QTJ4739" s="695"/>
      <c r="QTK4739" s="692"/>
      <c r="QTL4739" s="695"/>
      <c r="QTM4739" s="692"/>
      <c r="QTN4739" s="695"/>
      <c r="QTO4739" s="692"/>
      <c r="QTP4739" s="695"/>
      <c r="QTQ4739" s="692"/>
      <c r="QTR4739" s="695"/>
      <c r="QTS4739" s="692"/>
      <c r="QTT4739" s="695"/>
      <c r="QTU4739" s="692"/>
      <c r="QTV4739" s="695"/>
      <c r="QTW4739" s="692"/>
      <c r="QTX4739" s="695"/>
      <c r="QTY4739" s="692"/>
      <c r="QTZ4739" s="695"/>
      <c r="QUA4739" s="692"/>
      <c r="QUB4739" s="695"/>
      <c r="QUC4739" s="692"/>
      <c r="QUD4739" s="695"/>
      <c r="QUE4739" s="692"/>
      <c r="QUF4739" s="695"/>
      <c r="QUG4739" s="692"/>
      <c r="QUH4739" s="695"/>
      <c r="QUI4739" s="692"/>
      <c r="QUJ4739" s="695"/>
      <c r="QUK4739" s="692"/>
      <c r="QUL4739" s="695"/>
      <c r="QUM4739" s="692"/>
      <c r="QUN4739" s="695"/>
      <c r="QUO4739" s="692"/>
      <c r="QUP4739" s="695"/>
      <c r="QUQ4739" s="692"/>
      <c r="QUR4739" s="695"/>
      <c r="QUS4739" s="692"/>
      <c r="QUT4739" s="695"/>
      <c r="QUU4739" s="692"/>
      <c r="QUV4739" s="695"/>
      <c r="QUW4739" s="692"/>
      <c r="QUX4739" s="695"/>
      <c r="QUY4739" s="692"/>
      <c r="QUZ4739" s="695"/>
      <c r="QVA4739" s="692"/>
      <c r="QVB4739" s="695"/>
      <c r="QVC4739" s="692"/>
      <c r="QVD4739" s="695"/>
      <c r="QVE4739" s="692"/>
      <c r="QVF4739" s="695"/>
      <c r="QVG4739" s="692"/>
      <c r="QVH4739" s="695"/>
      <c r="QVI4739" s="692"/>
      <c r="QVJ4739" s="695"/>
      <c r="QVK4739" s="692"/>
      <c r="QVL4739" s="695"/>
      <c r="QVM4739" s="692"/>
      <c r="QVN4739" s="695"/>
      <c r="QVO4739" s="692"/>
      <c r="QVP4739" s="695"/>
      <c r="QVQ4739" s="692"/>
      <c r="QVR4739" s="695"/>
      <c r="QVS4739" s="692"/>
      <c r="QVT4739" s="695"/>
      <c r="QVU4739" s="692"/>
      <c r="QVV4739" s="695"/>
      <c r="QVW4739" s="692"/>
      <c r="QVX4739" s="695"/>
      <c r="QVY4739" s="692"/>
      <c r="QVZ4739" s="695"/>
      <c r="QWA4739" s="692"/>
      <c r="QWB4739" s="695"/>
      <c r="QWC4739" s="692"/>
      <c r="QWD4739" s="695"/>
      <c r="QWE4739" s="692"/>
      <c r="QWF4739" s="695"/>
      <c r="QWG4739" s="692"/>
      <c r="QWH4739" s="695"/>
      <c r="QWI4739" s="692"/>
      <c r="QWJ4739" s="695"/>
      <c r="QWK4739" s="692"/>
      <c r="QWL4739" s="695"/>
      <c r="QWM4739" s="692"/>
      <c r="QWN4739" s="695"/>
      <c r="QWO4739" s="692"/>
      <c r="QWP4739" s="695"/>
      <c r="QWQ4739" s="692"/>
      <c r="QWR4739" s="695"/>
      <c r="QWS4739" s="692"/>
      <c r="QWT4739" s="695"/>
      <c r="QWU4739" s="692"/>
      <c r="QWV4739" s="695"/>
      <c r="QWW4739" s="692"/>
      <c r="QWX4739" s="695"/>
      <c r="QWY4739" s="692"/>
      <c r="QWZ4739" s="695"/>
      <c r="QXA4739" s="692"/>
      <c r="QXB4739" s="695"/>
      <c r="QXC4739" s="692"/>
      <c r="QXD4739" s="695"/>
      <c r="QXE4739" s="692"/>
      <c r="QXF4739" s="695"/>
      <c r="QXG4739" s="692"/>
      <c r="QXH4739" s="695"/>
      <c r="QXI4739" s="692"/>
      <c r="QXJ4739" s="695"/>
      <c r="QXK4739" s="692"/>
      <c r="QXL4739" s="695"/>
      <c r="QXM4739" s="692"/>
      <c r="QXN4739" s="695"/>
      <c r="QXO4739" s="692"/>
      <c r="QXP4739" s="695"/>
      <c r="QXQ4739" s="692"/>
      <c r="QXR4739" s="695"/>
      <c r="QXS4739" s="692"/>
      <c r="QXT4739" s="695"/>
      <c r="QXU4739" s="692"/>
      <c r="QXV4739" s="695"/>
      <c r="QXW4739" s="692"/>
      <c r="QXX4739" s="695"/>
      <c r="QXY4739" s="692"/>
      <c r="QXZ4739" s="695"/>
      <c r="QYA4739" s="692"/>
      <c r="QYB4739" s="695"/>
      <c r="QYC4739" s="692"/>
      <c r="QYD4739" s="695"/>
      <c r="QYE4739" s="692"/>
      <c r="QYF4739" s="695"/>
      <c r="QYG4739" s="692"/>
      <c r="QYH4739" s="695"/>
      <c r="QYI4739" s="692"/>
      <c r="QYJ4739" s="695"/>
      <c r="QYK4739" s="692"/>
      <c r="QYL4739" s="695"/>
      <c r="QYM4739" s="692"/>
      <c r="QYN4739" s="695"/>
      <c r="QYO4739" s="692"/>
      <c r="QYP4739" s="695"/>
      <c r="QYQ4739" s="692"/>
      <c r="QYR4739" s="695"/>
      <c r="QYS4739" s="692"/>
      <c r="QYT4739" s="695"/>
      <c r="QYU4739" s="692"/>
      <c r="QYV4739" s="695"/>
      <c r="QYW4739" s="692"/>
      <c r="QYX4739" s="695"/>
      <c r="QYY4739" s="692"/>
      <c r="QYZ4739" s="695"/>
      <c r="QZA4739" s="692"/>
      <c r="QZB4739" s="695"/>
      <c r="QZC4739" s="692"/>
      <c r="QZD4739" s="695"/>
      <c r="QZE4739" s="692"/>
      <c r="QZF4739" s="695"/>
      <c r="QZG4739" s="692"/>
      <c r="QZH4739" s="695"/>
      <c r="QZI4739" s="692"/>
      <c r="QZJ4739" s="695"/>
      <c r="QZK4739" s="692"/>
      <c r="QZL4739" s="695"/>
      <c r="QZM4739" s="692"/>
      <c r="QZN4739" s="695"/>
      <c r="QZO4739" s="692"/>
      <c r="QZP4739" s="695"/>
      <c r="QZQ4739" s="692"/>
      <c r="QZR4739" s="695"/>
      <c r="QZS4739" s="692"/>
      <c r="QZT4739" s="695"/>
      <c r="QZU4739" s="692"/>
      <c r="QZV4739" s="695"/>
      <c r="QZW4739" s="692"/>
      <c r="QZX4739" s="695"/>
      <c r="QZY4739" s="692"/>
      <c r="QZZ4739" s="695"/>
      <c r="RAA4739" s="692"/>
      <c r="RAB4739" s="695"/>
      <c r="RAC4739" s="692"/>
      <c r="RAD4739" s="695"/>
      <c r="RAE4739" s="692"/>
      <c r="RAF4739" s="695"/>
      <c r="RAG4739" s="692"/>
      <c r="RAH4739" s="695"/>
      <c r="RAI4739" s="692"/>
      <c r="RAJ4739" s="695"/>
      <c r="RAK4739" s="692"/>
      <c r="RAL4739" s="695"/>
      <c r="RAM4739" s="692"/>
      <c r="RAN4739" s="695"/>
      <c r="RAO4739" s="692"/>
      <c r="RAP4739" s="695"/>
      <c r="RAQ4739" s="692"/>
      <c r="RAR4739" s="695"/>
      <c r="RAS4739" s="692"/>
      <c r="RAT4739" s="695"/>
      <c r="RAU4739" s="692"/>
      <c r="RAV4739" s="695"/>
      <c r="RAW4739" s="692"/>
      <c r="RAX4739" s="695"/>
      <c r="RAY4739" s="692"/>
      <c r="RAZ4739" s="695"/>
      <c r="RBA4739" s="692"/>
      <c r="RBB4739" s="695"/>
      <c r="RBC4739" s="692"/>
      <c r="RBD4739" s="695"/>
      <c r="RBE4739" s="692"/>
      <c r="RBF4739" s="695"/>
      <c r="RBG4739" s="692"/>
      <c r="RBH4739" s="695"/>
      <c r="RBI4739" s="692"/>
      <c r="RBJ4739" s="695"/>
      <c r="RBK4739" s="692"/>
      <c r="RBL4739" s="695"/>
      <c r="RBM4739" s="692"/>
      <c r="RBN4739" s="695"/>
      <c r="RBO4739" s="692"/>
      <c r="RBP4739" s="695"/>
      <c r="RBQ4739" s="692"/>
      <c r="RBR4739" s="695"/>
      <c r="RBS4739" s="692"/>
      <c r="RBT4739" s="695"/>
      <c r="RBU4739" s="692"/>
      <c r="RBV4739" s="695"/>
      <c r="RBW4739" s="692"/>
      <c r="RBX4739" s="695"/>
      <c r="RBY4739" s="692"/>
      <c r="RBZ4739" s="695"/>
      <c r="RCA4739" s="692"/>
      <c r="RCB4739" s="695"/>
      <c r="RCC4739" s="692"/>
      <c r="RCD4739" s="695"/>
      <c r="RCE4739" s="692"/>
      <c r="RCF4739" s="695"/>
      <c r="RCG4739" s="692"/>
      <c r="RCH4739" s="695"/>
      <c r="RCI4739" s="692"/>
      <c r="RCJ4739" s="695"/>
      <c r="RCK4739" s="692"/>
      <c r="RCL4739" s="695"/>
      <c r="RCM4739" s="692"/>
      <c r="RCN4739" s="695"/>
      <c r="RCO4739" s="692"/>
      <c r="RCP4739" s="695"/>
      <c r="RCQ4739" s="692"/>
      <c r="RCR4739" s="695"/>
      <c r="RCS4739" s="692"/>
      <c r="RCT4739" s="695"/>
      <c r="RCU4739" s="692"/>
      <c r="RCV4739" s="695"/>
      <c r="RCW4739" s="692"/>
      <c r="RCX4739" s="695"/>
      <c r="RCY4739" s="692"/>
      <c r="RCZ4739" s="695"/>
      <c r="RDA4739" s="692"/>
      <c r="RDB4739" s="695"/>
      <c r="RDC4739" s="692"/>
      <c r="RDD4739" s="695"/>
      <c r="RDE4739" s="692"/>
      <c r="RDF4739" s="695"/>
      <c r="RDG4739" s="692"/>
      <c r="RDH4739" s="695"/>
      <c r="RDI4739" s="692"/>
      <c r="RDJ4739" s="695"/>
      <c r="RDK4739" s="692"/>
      <c r="RDL4739" s="695"/>
      <c r="RDM4739" s="692"/>
      <c r="RDN4739" s="695"/>
      <c r="RDO4739" s="692"/>
      <c r="RDP4739" s="695"/>
      <c r="RDQ4739" s="692"/>
      <c r="RDR4739" s="695"/>
      <c r="RDS4739" s="692"/>
      <c r="RDT4739" s="695"/>
      <c r="RDU4739" s="692"/>
      <c r="RDV4739" s="695"/>
      <c r="RDW4739" s="692"/>
      <c r="RDX4739" s="695"/>
      <c r="RDY4739" s="692"/>
      <c r="RDZ4739" s="695"/>
      <c r="REA4739" s="692"/>
      <c r="REB4739" s="695"/>
      <c r="REC4739" s="692"/>
      <c r="RED4739" s="695"/>
      <c r="REE4739" s="692"/>
      <c r="REF4739" s="695"/>
      <c r="REG4739" s="692"/>
      <c r="REH4739" s="695"/>
      <c r="REI4739" s="692"/>
      <c r="REJ4739" s="695"/>
      <c r="REK4739" s="692"/>
      <c r="REL4739" s="695"/>
      <c r="REM4739" s="692"/>
      <c r="REN4739" s="695"/>
      <c r="REO4739" s="692"/>
      <c r="REP4739" s="695"/>
      <c r="REQ4739" s="692"/>
      <c r="RER4739" s="695"/>
      <c r="RES4739" s="692"/>
      <c r="RET4739" s="695"/>
      <c r="REU4739" s="692"/>
      <c r="REV4739" s="695"/>
      <c r="REW4739" s="692"/>
      <c r="REX4739" s="695"/>
      <c r="REY4739" s="692"/>
      <c r="REZ4739" s="695"/>
      <c r="RFA4739" s="692"/>
      <c r="RFB4739" s="695"/>
      <c r="RFC4739" s="692"/>
      <c r="RFD4739" s="695"/>
      <c r="RFE4739" s="692"/>
      <c r="RFF4739" s="695"/>
      <c r="RFG4739" s="692"/>
      <c r="RFH4739" s="695"/>
      <c r="RFI4739" s="692"/>
      <c r="RFJ4739" s="695"/>
      <c r="RFK4739" s="692"/>
      <c r="RFL4739" s="695"/>
      <c r="RFM4739" s="692"/>
      <c r="RFN4739" s="695"/>
      <c r="RFO4739" s="692"/>
      <c r="RFP4739" s="695"/>
      <c r="RFQ4739" s="692"/>
      <c r="RFR4739" s="695"/>
      <c r="RFS4739" s="692"/>
      <c r="RFT4739" s="695"/>
      <c r="RFU4739" s="692"/>
      <c r="RFV4739" s="695"/>
      <c r="RFW4739" s="692"/>
      <c r="RFX4739" s="695"/>
      <c r="RFY4739" s="692"/>
      <c r="RFZ4739" s="695"/>
      <c r="RGA4739" s="692"/>
      <c r="RGB4739" s="695"/>
      <c r="RGC4739" s="692"/>
      <c r="RGD4739" s="695"/>
      <c r="RGE4739" s="692"/>
      <c r="RGF4739" s="695"/>
      <c r="RGG4739" s="692"/>
      <c r="RGH4739" s="695"/>
      <c r="RGI4739" s="692"/>
      <c r="RGJ4739" s="695"/>
      <c r="RGK4739" s="692"/>
      <c r="RGL4739" s="695"/>
      <c r="RGM4739" s="692"/>
      <c r="RGN4739" s="695"/>
      <c r="RGO4739" s="692"/>
      <c r="RGP4739" s="695"/>
      <c r="RGQ4739" s="692"/>
      <c r="RGR4739" s="695"/>
      <c r="RGS4739" s="692"/>
      <c r="RGT4739" s="695"/>
      <c r="RGU4739" s="692"/>
      <c r="RGV4739" s="695"/>
      <c r="RGW4739" s="692"/>
      <c r="RGX4739" s="695"/>
      <c r="RGY4739" s="692"/>
      <c r="RGZ4739" s="695"/>
      <c r="RHA4739" s="692"/>
      <c r="RHB4739" s="695"/>
      <c r="RHC4739" s="692"/>
      <c r="RHD4739" s="695"/>
      <c r="RHE4739" s="692"/>
      <c r="RHF4739" s="695"/>
      <c r="RHG4739" s="692"/>
      <c r="RHH4739" s="695"/>
      <c r="RHI4739" s="692"/>
      <c r="RHJ4739" s="695"/>
      <c r="RHK4739" s="692"/>
      <c r="RHL4739" s="695"/>
      <c r="RHM4739" s="692"/>
      <c r="RHN4739" s="695"/>
      <c r="RHO4739" s="692"/>
      <c r="RHP4739" s="695"/>
      <c r="RHQ4739" s="692"/>
      <c r="RHR4739" s="695"/>
      <c r="RHS4739" s="692"/>
      <c r="RHT4739" s="695"/>
      <c r="RHU4739" s="692"/>
      <c r="RHV4739" s="695"/>
      <c r="RHW4739" s="692"/>
      <c r="RHX4739" s="695"/>
      <c r="RHY4739" s="692"/>
      <c r="RHZ4739" s="695"/>
      <c r="RIA4739" s="692"/>
      <c r="RIB4739" s="695"/>
      <c r="RIC4739" s="692"/>
      <c r="RID4739" s="695"/>
      <c r="RIE4739" s="692"/>
      <c r="RIF4739" s="695"/>
      <c r="RIG4739" s="692"/>
      <c r="RIH4739" s="695"/>
      <c r="RII4739" s="692"/>
      <c r="RIJ4739" s="695"/>
      <c r="RIK4739" s="692"/>
      <c r="RIL4739" s="695"/>
      <c r="RIM4739" s="692"/>
      <c r="RIN4739" s="695"/>
      <c r="RIO4739" s="692"/>
      <c r="RIP4739" s="695"/>
      <c r="RIQ4739" s="692"/>
      <c r="RIR4739" s="695"/>
      <c r="RIS4739" s="692"/>
      <c r="RIT4739" s="695"/>
      <c r="RIU4739" s="692"/>
      <c r="RIV4739" s="695"/>
      <c r="RIW4739" s="692"/>
      <c r="RIX4739" s="695"/>
      <c r="RIY4739" s="692"/>
      <c r="RIZ4739" s="695"/>
      <c r="RJA4739" s="692"/>
      <c r="RJB4739" s="695"/>
      <c r="RJC4739" s="692"/>
      <c r="RJD4739" s="695"/>
      <c r="RJE4739" s="692"/>
      <c r="RJF4739" s="695"/>
      <c r="RJG4739" s="692"/>
      <c r="RJH4739" s="695"/>
      <c r="RJI4739" s="692"/>
      <c r="RJJ4739" s="695"/>
      <c r="RJK4739" s="692"/>
      <c r="RJL4739" s="695"/>
      <c r="RJM4739" s="692"/>
      <c r="RJN4739" s="695"/>
      <c r="RJO4739" s="692"/>
      <c r="RJP4739" s="695"/>
      <c r="RJQ4739" s="692"/>
      <c r="RJR4739" s="695"/>
      <c r="RJS4739" s="692"/>
      <c r="RJT4739" s="695"/>
      <c r="RJU4739" s="692"/>
      <c r="RJV4739" s="695"/>
      <c r="RJW4739" s="692"/>
      <c r="RJX4739" s="695"/>
      <c r="RJY4739" s="692"/>
      <c r="RJZ4739" s="695"/>
      <c r="RKA4739" s="692"/>
      <c r="RKB4739" s="695"/>
      <c r="RKC4739" s="692"/>
      <c r="RKD4739" s="695"/>
      <c r="RKE4739" s="692"/>
      <c r="RKF4739" s="695"/>
      <c r="RKG4739" s="692"/>
      <c r="RKH4739" s="695"/>
      <c r="RKI4739" s="692"/>
      <c r="RKJ4739" s="695"/>
      <c r="RKK4739" s="692"/>
      <c r="RKL4739" s="695"/>
      <c r="RKM4739" s="692"/>
      <c r="RKN4739" s="695"/>
      <c r="RKO4739" s="692"/>
      <c r="RKP4739" s="695"/>
      <c r="RKQ4739" s="692"/>
      <c r="RKR4739" s="695"/>
      <c r="RKS4739" s="692"/>
      <c r="RKT4739" s="695"/>
      <c r="RKU4739" s="692"/>
      <c r="RKV4739" s="695"/>
      <c r="RKW4739" s="692"/>
      <c r="RKX4739" s="695"/>
      <c r="RKY4739" s="692"/>
      <c r="RKZ4739" s="695"/>
      <c r="RLA4739" s="692"/>
      <c r="RLB4739" s="695"/>
      <c r="RLC4739" s="692"/>
      <c r="RLD4739" s="695"/>
      <c r="RLE4739" s="692"/>
      <c r="RLF4739" s="695"/>
      <c r="RLG4739" s="692"/>
      <c r="RLH4739" s="695"/>
      <c r="RLI4739" s="692"/>
      <c r="RLJ4739" s="695"/>
      <c r="RLK4739" s="692"/>
      <c r="RLL4739" s="695"/>
      <c r="RLM4739" s="692"/>
      <c r="RLN4739" s="695"/>
      <c r="RLO4739" s="692"/>
      <c r="RLP4739" s="695"/>
      <c r="RLQ4739" s="692"/>
      <c r="RLR4739" s="695"/>
      <c r="RLS4739" s="692"/>
      <c r="RLT4739" s="695"/>
      <c r="RLU4739" s="692"/>
      <c r="RLV4739" s="695"/>
      <c r="RLW4739" s="692"/>
      <c r="RLX4739" s="695"/>
      <c r="RLY4739" s="692"/>
      <c r="RLZ4739" s="695"/>
      <c r="RMA4739" s="692"/>
      <c r="RMB4739" s="695"/>
      <c r="RMC4739" s="692"/>
      <c r="RMD4739" s="695"/>
      <c r="RME4739" s="692"/>
      <c r="RMF4739" s="695"/>
      <c r="RMG4739" s="692"/>
      <c r="RMH4739" s="695"/>
      <c r="RMI4739" s="692"/>
      <c r="RMJ4739" s="695"/>
      <c r="RMK4739" s="692"/>
      <c r="RML4739" s="695"/>
      <c r="RMM4739" s="692"/>
      <c r="RMN4739" s="695"/>
      <c r="RMO4739" s="692"/>
      <c r="RMP4739" s="695"/>
      <c r="RMQ4739" s="692"/>
      <c r="RMR4739" s="695"/>
      <c r="RMS4739" s="692"/>
      <c r="RMT4739" s="695"/>
      <c r="RMU4739" s="692"/>
      <c r="RMV4739" s="695"/>
      <c r="RMW4739" s="692"/>
      <c r="RMX4739" s="695"/>
      <c r="RMY4739" s="692"/>
      <c r="RMZ4739" s="695"/>
      <c r="RNA4739" s="692"/>
      <c r="RNB4739" s="695"/>
      <c r="RNC4739" s="692"/>
      <c r="RND4739" s="695"/>
      <c r="RNE4739" s="692"/>
      <c r="RNF4739" s="695"/>
      <c r="RNG4739" s="692"/>
      <c r="RNH4739" s="695"/>
      <c r="RNI4739" s="692"/>
      <c r="RNJ4739" s="695"/>
      <c r="RNK4739" s="692"/>
      <c r="RNL4739" s="695"/>
      <c r="RNM4739" s="692"/>
      <c r="RNN4739" s="695"/>
      <c r="RNO4739" s="692"/>
      <c r="RNP4739" s="695"/>
      <c r="RNQ4739" s="692"/>
      <c r="RNR4739" s="695"/>
      <c r="RNS4739" s="692"/>
      <c r="RNT4739" s="695"/>
      <c r="RNU4739" s="692"/>
      <c r="RNV4739" s="695"/>
      <c r="RNW4739" s="692"/>
      <c r="RNX4739" s="695"/>
      <c r="RNY4739" s="692"/>
      <c r="RNZ4739" s="695"/>
      <c r="ROA4739" s="692"/>
      <c r="ROB4739" s="695"/>
      <c r="ROC4739" s="692"/>
      <c r="ROD4739" s="695"/>
      <c r="ROE4739" s="692"/>
      <c r="ROF4739" s="695"/>
      <c r="ROG4739" s="692"/>
      <c r="ROH4739" s="695"/>
      <c r="ROI4739" s="692"/>
      <c r="ROJ4739" s="695"/>
      <c r="ROK4739" s="692"/>
      <c r="ROL4739" s="695"/>
      <c r="ROM4739" s="692"/>
      <c r="RON4739" s="695"/>
      <c r="ROO4739" s="692"/>
      <c r="ROP4739" s="695"/>
      <c r="ROQ4739" s="692"/>
      <c r="ROR4739" s="695"/>
      <c r="ROS4739" s="692"/>
      <c r="ROT4739" s="695"/>
      <c r="ROU4739" s="692"/>
      <c r="ROV4739" s="695"/>
      <c r="ROW4739" s="692"/>
      <c r="ROX4739" s="695"/>
      <c r="ROY4739" s="692"/>
      <c r="ROZ4739" s="695"/>
      <c r="RPA4739" s="692"/>
      <c r="RPB4739" s="695"/>
      <c r="RPC4739" s="692"/>
      <c r="RPD4739" s="695"/>
      <c r="RPE4739" s="692"/>
      <c r="RPF4739" s="695"/>
      <c r="RPG4739" s="692"/>
      <c r="RPH4739" s="695"/>
      <c r="RPI4739" s="692"/>
      <c r="RPJ4739" s="695"/>
      <c r="RPK4739" s="692"/>
      <c r="RPL4739" s="695"/>
      <c r="RPM4739" s="692"/>
      <c r="RPN4739" s="695"/>
      <c r="RPO4739" s="692"/>
      <c r="RPP4739" s="695"/>
      <c r="RPQ4739" s="692"/>
      <c r="RPR4739" s="695"/>
      <c r="RPS4739" s="692"/>
      <c r="RPT4739" s="695"/>
      <c r="RPU4739" s="692"/>
      <c r="RPV4739" s="695"/>
      <c r="RPW4739" s="692"/>
      <c r="RPX4739" s="695"/>
      <c r="RPY4739" s="692"/>
      <c r="RPZ4739" s="695"/>
      <c r="RQA4739" s="692"/>
      <c r="RQB4739" s="695"/>
      <c r="RQC4739" s="692"/>
      <c r="RQD4739" s="695"/>
      <c r="RQE4739" s="692"/>
      <c r="RQF4739" s="695"/>
      <c r="RQG4739" s="692"/>
      <c r="RQH4739" s="695"/>
      <c r="RQI4739" s="692"/>
      <c r="RQJ4739" s="695"/>
      <c r="RQK4739" s="692"/>
      <c r="RQL4739" s="695"/>
      <c r="RQM4739" s="692"/>
      <c r="RQN4739" s="695"/>
      <c r="RQO4739" s="692"/>
      <c r="RQP4739" s="695"/>
      <c r="RQQ4739" s="692"/>
      <c r="RQR4739" s="695"/>
      <c r="RQS4739" s="692"/>
      <c r="RQT4739" s="695"/>
      <c r="RQU4739" s="692"/>
      <c r="RQV4739" s="695"/>
      <c r="RQW4739" s="692"/>
      <c r="RQX4739" s="695"/>
      <c r="RQY4739" s="692"/>
      <c r="RQZ4739" s="695"/>
      <c r="RRA4739" s="692"/>
      <c r="RRB4739" s="695"/>
      <c r="RRC4739" s="692"/>
      <c r="RRD4739" s="695"/>
      <c r="RRE4739" s="692"/>
      <c r="RRF4739" s="695"/>
      <c r="RRG4739" s="692"/>
      <c r="RRH4739" s="695"/>
      <c r="RRI4739" s="692"/>
      <c r="RRJ4739" s="695"/>
      <c r="RRK4739" s="692"/>
      <c r="RRL4739" s="695"/>
      <c r="RRM4739" s="692"/>
      <c r="RRN4739" s="695"/>
      <c r="RRO4739" s="692"/>
      <c r="RRP4739" s="695"/>
      <c r="RRQ4739" s="692"/>
      <c r="RRR4739" s="695"/>
      <c r="RRS4739" s="692"/>
      <c r="RRT4739" s="695"/>
      <c r="RRU4739" s="692"/>
      <c r="RRV4739" s="695"/>
      <c r="RRW4739" s="692"/>
      <c r="RRX4739" s="695"/>
      <c r="RRY4739" s="692"/>
      <c r="RRZ4739" s="695"/>
      <c r="RSA4739" s="692"/>
      <c r="RSB4739" s="695"/>
      <c r="RSC4739" s="692"/>
      <c r="RSD4739" s="695"/>
      <c r="RSE4739" s="692"/>
      <c r="RSF4739" s="695"/>
      <c r="RSG4739" s="692"/>
      <c r="RSH4739" s="695"/>
      <c r="RSI4739" s="692"/>
      <c r="RSJ4739" s="695"/>
      <c r="RSK4739" s="692"/>
      <c r="RSL4739" s="695"/>
      <c r="RSM4739" s="692"/>
      <c r="RSN4739" s="695"/>
      <c r="RSO4739" s="692"/>
      <c r="RSP4739" s="695"/>
      <c r="RSQ4739" s="692"/>
      <c r="RSR4739" s="695"/>
      <c r="RSS4739" s="692"/>
      <c r="RST4739" s="695"/>
      <c r="RSU4739" s="692"/>
      <c r="RSV4739" s="695"/>
      <c r="RSW4739" s="692"/>
      <c r="RSX4739" s="695"/>
      <c r="RSY4739" s="692"/>
      <c r="RSZ4739" s="695"/>
      <c r="RTA4739" s="692"/>
      <c r="RTB4739" s="695"/>
      <c r="RTC4739" s="692"/>
      <c r="RTD4739" s="695"/>
      <c r="RTE4739" s="692"/>
      <c r="RTF4739" s="695"/>
      <c r="RTG4739" s="692"/>
      <c r="RTH4739" s="695"/>
      <c r="RTI4739" s="692"/>
      <c r="RTJ4739" s="695"/>
      <c r="RTK4739" s="692"/>
      <c r="RTL4739" s="695"/>
      <c r="RTM4739" s="692"/>
      <c r="RTN4739" s="695"/>
      <c r="RTO4739" s="692"/>
      <c r="RTP4739" s="695"/>
      <c r="RTQ4739" s="692"/>
      <c r="RTR4739" s="695"/>
      <c r="RTS4739" s="692"/>
      <c r="RTT4739" s="695"/>
      <c r="RTU4739" s="692"/>
      <c r="RTV4739" s="695"/>
      <c r="RTW4739" s="692"/>
      <c r="RTX4739" s="695"/>
      <c r="RTY4739" s="692"/>
      <c r="RTZ4739" s="695"/>
      <c r="RUA4739" s="692"/>
      <c r="RUB4739" s="695"/>
      <c r="RUC4739" s="692"/>
      <c r="RUD4739" s="695"/>
      <c r="RUE4739" s="692"/>
      <c r="RUF4739" s="695"/>
      <c r="RUG4739" s="692"/>
      <c r="RUH4739" s="695"/>
      <c r="RUI4739" s="692"/>
      <c r="RUJ4739" s="695"/>
      <c r="RUK4739" s="692"/>
      <c r="RUL4739" s="695"/>
      <c r="RUM4739" s="692"/>
      <c r="RUN4739" s="695"/>
      <c r="RUO4739" s="692"/>
      <c r="RUP4739" s="695"/>
      <c r="RUQ4739" s="692"/>
      <c r="RUR4739" s="695"/>
      <c r="RUS4739" s="692"/>
      <c r="RUT4739" s="695"/>
      <c r="RUU4739" s="692"/>
      <c r="RUV4739" s="695"/>
      <c r="RUW4739" s="692"/>
      <c r="RUX4739" s="695"/>
      <c r="RUY4739" s="692"/>
      <c r="RUZ4739" s="695"/>
      <c r="RVA4739" s="692"/>
      <c r="RVB4739" s="695"/>
      <c r="RVC4739" s="692"/>
      <c r="RVD4739" s="695"/>
      <c r="RVE4739" s="692"/>
      <c r="RVF4739" s="695"/>
      <c r="RVG4739" s="692"/>
      <c r="RVH4739" s="695"/>
      <c r="RVI4739" s="692"/>
      <c r="RVJ4739" s="695"/>
      <c r="RVK4739" s="692"/>
      <c r="RVL4739" s="695"/>
      <c r="RVM4739" s="692"/>
      <c r="RVN4739" s="695"/>
      <c r="RVO4739" s="692"/>
      <c r="RVP4739" s="695"/>
      <c r="RVQ4739" s="692"/>
      <c r="RVR4739" s="695"/>
      <c r="RVS4739" s="692"/>
      <c r="RVT4739" s="695"/>
      <c r="RVU4739" s="692"/>
      <c r="RVV4739" s="695"/>
      <c r="RVW4739" s="692"/>
      <c r="RVX4739" s="695"/>
      <c r="RVY4739" s="692"/>
      <c r="RVZ4739" s="695"/>
      <c r="RWA4739" s="692"/>
      <c r="RWB4739" s="695"/>
      <c r="RWC4739" s="692"/>
      <c r="RWD4739" s="695"/>
      <c r="RWE4739" s="692"/>
      <c r="RWF4739" s="695"/>
      <c r="RWG4739" s="692"/>
      <c r="RWH4739" s="695"/>
      <c r="RWI4739" s="692"/>
      <c r="RWJ4739" s="695"/>
      <c r="RWK4739" s="692"/>
      <c r="RWL4739" s="695"/>
      <c r="RWM4739" s="692"/>
      <c r="RWN4739" s="695"/>
      <c r="RWO4739" s="692"/>
      <c r="RWP4739" s="695"/>
      <c r="RWQ4739" s="692"/>
      <c r="RWR4739" s="695"/>
      <c r="RWS4739" s="692"/>
      <c r="RWT4739" s="695"/>
      <c r="RWU4739" s="692"/>
      <c r="RWV4739" s="695"/>
      <c r="RWW4739" s="692"/>
      <c r="RWX4739" s="695"/>
      <c r="RWY4739" s="692"/>
      <c r="RWZ4739" s="695"/>
      <c r="RXA4739" s="692"/>
      <c r="RXB4739" s="695"/>
      <c r="RXC4739" s="692"/>
      <c r="RXD4739" s="695"/>
      <c r="RXE4739" s="692"/>
      <c r="RXF4739" s="695"/>
      <c r="RXG4739" s="692"/>
      <c r="RXH4739" s="695"/>
      <c r="RXI4739" s="692"/>
      <c r="RXJ4739" s="695"/>
      <c r="RXK4739" s="692"/>
      <c r="RXL4739" s="695"/>
      <c r="RXM4739" s="692"/>
      <c r="RXN4739" s="695"/>
      <c r="RXO4739" s="692"/>
      <c r="RXP4739" s="695"/>
      <c r="RXQ4739" s="692"/>
      <c r="RXR4739" s="695"/>
      <c r="RXS4739" s="692"/>
      <c r="RXT4739" s="695"/>
      <c r="RXU4739" s="692"/>
      <c r="RXV4739" s="695"/>
      <c r="RXW4739" s="692"/>
      <c r="RXX4739" s="695"/>
      <c r="RXY4739" s="692"/>
      <c r="RXZ4739" s="695"/>
      <c r="RYA4739" s="692"/>
      <c r="RYB4739" s="695"/>
      <c r="RYC4739" s="692"/>
      <c r="RYD4739" s="695"/>
      <c r="RYE4739" s="692"/>
      <c r="RYF4739" s="695"/>
      <c r="RYG4739" s="692"/>
      <c r="RYH4739" s="695"/>
      <c r="RYI4739" s="692"/>
      <c r="RYJ4739" s="695"/>
      <c r="RYK4739" s="692"/>
      <c r="RYL4739" s="695"/>
      <c r="RYM4739" s="692"/>
      <c r="RYN4739" s="695"/>
      <c r="RYO4739" s="692"/>
      <c r="RYP4739" s="695"/>
      <c r="RYQ4739" s="692"/>
      <c r="RYR4739" s="695"/>
      <c r="RYS4739" s="692"/>
      <c r="RYT4739" s="695"/>
      <c r="RYU4739" s="692"/>
      <c r="RYV4739" s="695"/>
      <c r="RYW4739" s="692"/>
      <c r="RYX4739" s="695"/>
      <c r="RYY4739" s="692"/>
      <c r="RYZ4739" s="695"/>
      <c r="RZA4739" s="692"/>
      <c r="RZB4739" s="695"/>
      <c r="RZC4739" s="692"/>
      <c r="RZD4739" s="695"/>
      <c r="RZE4739" s="692"/>
      <c r="RZF4739" s="695"/>
      <c r="RZG4739" s="692"/>
      <c r="RZH4739" s="695"/>
      <c r="RZI4739" s="692"/>
      <c r="RZJ4739" s="695"/>
      <c r="RZK4739" s="692"/>
      <c r="RZL4739" s="695"/>
      <c r="RZM4739" s="692"/>
      <c r="RZN4739" s="695"/>
      <c r="RZO4739" s="692"/>
      <c r="RZP4739" s="695"/>
      <c r="RZQ4739" s="692"/>
      <c r="RZR4739" s="695"/>
      <c r="RZS4739" s="692"/>
      <c r="RZT4739" s="695"/>
      <c r="RZU4739" s="692"/>
      <c r="RZV4739" s="695"/>
      <c r="RZW4739" s="692"/>
      <c r="RZX4739" s="695"/>
      <c r="RZY4739" s="692"/>
      <c r="RZZ4739" s="695"/>
      <c r="SAA4739" s="692"/>
      <c r="SAB4739" s="695"/>
      <c r="SAC4739" s="692"/>
      <c r="SAD4739" s="695"/>
      <c r="SAE4739" s="692"/>
      <c r="SAF4739" s="695"/>
      <c r="SAG4739" s="692"/>
      <c r="SAH4739" s="695"/>
      <c r="SAI4739" s="692"/>
      <c r="SAJ4739" s="695"/>
      <c r="SAK4739" s="692"/>
      <c r="SAL4739" s="695"/>
      <c r="SAM4739" s="692"/>
      <c r="SAN4739" s="695"/>
      <c r="SAO4739" s="692"/>
      <c r="SAP4739" s="695"/>
      <c r="SAQ4739" s="692"/>
      <c r="SAR4739" s="695"/>
      <c r="SAS4739" s="692"/>
      <c r="SAT4739" s="695"/>
      <c r="SAU4739" s="692"/>
      <c r="SAV4739" s="695"/>
      <c r="SAW4739" s="692"/>
      <c r="SAX4739" s="695"/>
      <c r="SAY4739" s="692"/>
      <c r="SAZ4739" s="695"/>
      <c r="SBA4739" s="692"/>
      <c r="SBB4739" s="695"/>
      <c r="SBC4739" s="692"/>
      <c r="SBD4739" s="695"/>
      <c r="SBE4739" s="692"/>
      <c r="SBF4739" s="695"/>
      <c r="SBG4739" s="692"/>
      <c r="SBH4739" s="695"/>
      <c r="SBI4739" s="692"/>
      <c r="SBJ4739" s="695"/>
      <c r="SBK4739" s="692"/>
      <c r="SBL4739" s="695"/>
      <c r="SBM4739" s="692"/>
      <c r="SBN4739" s="695"/>
      <c r="SBO4739" s="692"/>
      <c r="SBP4739" s="695"/>
      <c r="SBQ4739" s="692"/>
      <c r="SBR4739" s="695"/>
      <c r="SBS4739" s="692"/>
      <c r="SBT4739" s="695"/>
      <c r="SBU4739" s="692"/>
      <c r="SBV4739" s="695"/>
      <c r="SBW4739" s="692"/>
      <c r="SBX4739" s="695"/>
      <c r="SBY4739" s="692"/>
      <c r="SBZ4739" s="695"/>
      <c r="SCA4739" s="692"/>
      <c r="SCB4739" s="695"/>
      <c r="SCC4739" s="692"/>
      <c r="SCD4739" s="695"/>
      <c r="SCE4739" s="692"/>
      <c r="SCF4739" s="695"/>
      <c r="SCG4739" s="692"/>
      <c r="SCH4739" s="695"/>
      <c r="SCI4739" s="692"/>
      <c r="SCJ4739" s="695"/>
      <c r="SCK4739" s="692"/>
      <c r="SCL4739" s="695"/>
      <c r="SCM4739" s="692"/>
      <c r="SCN4739" s="695"/>
      <c r="SCO4739" s="692"/>
      <c r="SCP4739" s="695"/>
      <c r="SCQ4739" s="692"/>
      <c r="SCR4739" s="695"/>
      <c r="SCS4739" s="692"/>
      <c r="SCT4739" s="695"/>
      <c r="SCU4739" s="692"/>
      <c r="SCV4739" s="695"/>
      <c r="SCW4739" s="692"/>
      <c r="SCX4739" s="695"/>
      <c r="SCY4739" s="692"/>
      <c r="SCZ4739" s="695"/>
      <c r="SDA4739" s="692"/>
      <c r="SDB4739" s="695"/>
      <c r="SDC4739" s="692"/>
      <c r="SDD4739" s="695"/>
      <c r="SDE4739" s="692"/>
      <c r="SDF4739" s="695"/>
      <c r="SDG4739" s="692"/>
      <c r="SDH4739" s="695"/>
      <c r="SDI4739" s="692"/>
      <c r="SDJ4739" s="695"/>
      <c r="SDK4739" s="692"/>
      <c r="SDL4739" s="695"/>
      <c r="SDM4739" s="692"/>
      <c r="SDN4739" s="695"/>
      <c r="SDO4739" s="692"/>
      <c r="SDP4739" s="695"/>
      <c r="SDQ4739" s="692"/>
      <c r="SDR4739" s="695"/>
      <c r="SDS4739" s="692"/>
      <c r="SDT4739" s="695"/>
      <c r="SDU4739" s="692"/>
      <c r="SDV4739" s="695"/>
      <c r="SDW4739" s="692"/>
      <c r="SDX4739" s="695"/>
      <c r="SDY4739" s="692"/>
      <c r="SDZ4739" s="695"/>
      <c r="SEA4739" s="692"/>
      <c r="SEB4739" s="695"/>
      <c r="SEC4739" s="692"/>
      <c r="SED4739" s="695"/>
      <c r="SEE4739" s="692"/>
      <c r="SEF4739" s="695"/>
      <c r="SEG4739" s="692"/>
      <c r="SEH4739" s="695"/>
      <c r="SEI4739" s="692"/>
      <c r="SEJ4739" s="695"/>
      <c r="SEK4739" s="692"/>
      <c r="SEL4739" s="695"/>
      <c r="SEM4739" s="692"/>
      <c r="SEN4739" s="695"/>
      <c r="SEO4739" s="692"/>
      <c r="SEP4739" s="695"/>
      <c r="SEQ4739" s="692"/>
      <c r="SER4739" s="695"/>
      <c r="SES4739" s="692"/>
      <c r="SET4739" s="695"/>
      <c r="SEU4739" s="692"/>
      <c r="SEV4739" s="695"/>
      <c r="SEW4739" s="692"/>
      <c r="SEX4739" s="695"/>
      <c r="SEY4739" s="692"/>
      <c r="SEZ4739" s="695"/>
      <c r="SFA4739" s="692"/>
      <c r="SFB4739" s="695"/>
      <c r="SFC4739" s="692"/>
      <c r="SFD4739" s="695"/>
      <c r="SFE4739" s="692"/>
      <c r="SFF4739" s="695"/>
      <c r="SFG4739" s="692"/>
      <c r="SFH4739" s="695"/>
      <c r="SFI4739" s="692"/>
      <c r="SFJ4739" s="695"/>
      <c r="SFK4739" s="692"/>
      <c r="SFL4739" s="695"/>
      <c r="SFM4739" s="692"/>
      <c r="SFN4739" s="695"/>
      <c r="SFO4739" s="692"/>
      <c r="SFP4739" s="695"/>
      <c r="SFQ4739" s="692"/>
      <c r="SFR4739" s="695"/>
      <c r="SFS4739" s="692"/>
      <c r="SFT4739" s="695"/>
      <c r="SFU4739" s="692"/>
      <c r="SFV4739" s="695"/>
      <c r="SFW4739" s="692"/>
      <c r="SFX4739" s="695"/>
      <c r="SFY4739" s="692"/>
      <c r="SFZ4739" s="695"/>
      <c r="SGA4739" s="692"/>
      <c r="SGB4739" s="695"/>
      <c r="SGC4739" s="692"/>
      <c r="SGD4739" s="695"/>
      <c r="SGE4739" s="692"/>
      <c r="SGF4739" s="695"/>
      <c r="SGG4739" s="692"/>
      <c r="SGH4739" s="695"/>
      <c r="SGI4739" s="692"/>
      <c r="SGJ4739" s="695"/>
      <c r="SGK4739" s="692"/>
      <c r="SGL4739" s="695"/>
      <c r="SGM4739" s="692"/>
      <c r="SGN4739" s="695"/>
      <c r="SGO4739" s="692"/>
      <c r="SGP4739" s="695"/>
      <c r="SGQ4739" s="692"/>
      <c r="SGR4739" s="695"/>
      <c r="SGS4739" s="692"/>
      <c r="SGT4739" s="695"/>
      <c r="SGU4739" s="692"/>
      <c r="SGV4739" s="695"/>
      <c r="SGW4739" s="692"/>
      <c r="SGX4739" s="695"/>
      <c r="SGY4739" s="692"/>
      <c r="SGZ4739" s="695"/>
      <c r="SHA4739" s="692"/>
      <c r="SHB4739" s="695"/>
      <c r="SHC4739" s="692"/>
      <c r="SHD4739" s="695"/>
      <c r="SHE4739" s="692"/>
      <c r="SHF4739" s="695"/>
      <c r="SHG4739" s="692"/>
      <c r="SHH4739" s="695"/>
      <c r="SHI4739" s="692"/>
      <c r="SHJ4739" s="695"/>
      <c r="SHK4739" s="692"/>
      <c r="SHL4739" s="695"/>
      <c r="SHM4739" s="692"/>
      <c r="SHN4739" s="695"/>
      <c r="SHO4739" s="692"/>
      <c r="SHP4739" s="695"/>
      <c r="SHQ4739" s="692"/>
      <c r="SHR4739" s="695"/>
      <c r="SHS4739" s="692"/>
      <c r="SHT4739" s="695"/>
      <c r="SHU4739" s="692"/>
      <c r="SHV4739" s="695"/>
      <c r="SHW4739" s="692"/>
      <c r="SHX4739" s="695"/>
      <c r="SHY4739" s="692"/>
      <c r="SHZ4739" s="695"/>
      <c r="SIA4739" s="692"/>
      <c r="SIB4739" s="695"/>
      <c r="SIC4739" s="692"/>
      <c r="SID4739" s="695"/>
      <c r="SIE4739" s="692"/>
      <c r="SIF4739" s="695"/>
      <c r="SIG4739" s="692"/>
      <c r="SIH4739" s="695"/>
      <c r="SII4739" s="692"/>
      <c r="SIJ4739" s="695"/>
      <c r="SIK4739" s="692"/>
      <c r="SIL4739" s="695"/>
      <c r="SIM4739" s="692"/>
      <c r="SIN4739" s="695"/>
      <c r="SIO4739" s="692"/>
      <c r="SIP4739" s="695"/>
      <c r="SIQ4739" s="692"/>
      <c r="SIR4739" s="695"/>
      <c r="SIS4739" s="692"/>
      <c r="SIT4739" s="695"/>
      <c r="SIU4739" s="692"/>
      <c r="SIV4739" s="695"/>
      <c r="SIW4739" s="692"/>
      <c r="SIX4739" s="695"/>
      <c r="SIY4739" s="692"/>
      <c r="SIZ4739" s="695"/>
      <c r="SJA4739" s="692"/>
      <c r="SJB4739" s="695"/>
      <c r="SJC4739" s="692"/>
      <c r="SJD4739" s="695"/>
      <c r="SJE4739" s="692"/>
      <c r="SJF4739" s="695"/>
      <c r="SJG4739" s="692"/>
      <c r="SJH4739" s="695"/>
      <c r="SJI4739" s="692"/>
      <c r="SJJ4739" s="695"/>
      <c r="SJK4739" s="692"/>
      <c r="SJL4739" s="695"/>
      <c r="SJM4739" s="692"/>
      <c r="SJN4739" s="695"/>
      <c r="SJO4739" s="692"/>
      <c r="SJP4739" s="695"/>
      <c r="SJQ4739" s="692"/>
      <c r="SJR4739" s="695"/>
      <c r="SJS4739" s="692"/>
      <c r="SJT4739" s="695"/>
      <c r="SJU4739" s="692"/>
      <c r="SJV4739" s="695"/>
      <c r="SJW4739" s="692"/>
      <c r="SJX4739" s="695"/>
      <c r="SJY4739" s="692"/>
      <c r="SJZ4739" s="695"/>
      <c r="SKA4739" s="692"/>
      <c r="SKB4739" s="695"/>
      <c r="SKC4739" s="692"/>
      <c r="SKD4739" s="695"/>
      <c r="SKE4739" s="692"/>
      <c r="SKF4739" s="695"/>
      <c r="SKG4739" s="692"/>
      <c r="SKH4739" s="695"/>
      <c r="SKI4739" s="692"/>
      <c r="SKJ4739" s="695"/>
      <c r="SKK4739" s="692"/>
      <c r="SKL4739" s="695"/>
      <c r="SKM4739" s="692"/>
      <c r="SKN4739" s="695"/>
      <c r="SKO4739" s="692"/>
      <c r="SKP4739" s="695"/>
      <c r="SKQ4739" s="692"/>
      <c r="SKR4739" s="695"/>
      <c r="SKS4739" s="692"/>
      <c r="SKT4739" s="695"/>
      <c r="SKU4739" s="692"/>
      <c r="SKV4739" s="695"/>
      <c r="SKW4739" s="692"/>
      <c r="SKX4739" s="695"/>
      <c r="SKY4739" s="692"/>
      <c r="SKZ4739" s="695"/>
      <c r="SLA4739" s="692"/>
      <c r="SLB4739" s="695"/>
      <c r="SLC4739" s="692"/>
      <c r="SLD4739" s="695"/>
      <c r="SLE4739" s="692"/>
      <c r="SLF4739" s="695"/>
      <c r="SLG4739" s="692"/>
      <c r="SLH4739" s="695"/>
      <c r="SLI4739" s="692"/>
      <c r="SLJ4739" s="695"/>
      <c r="SLK4739" s="692"/>
      <c r="SLL4739" s="695"/>
      <c r="SLM4739" s="692"/>
      <c r="SLN4739" s="695"/>
      <c r="SLO4739" s="692"/>
      <c r="SLP4739" s="695"/>
      <c r="SLQ4739" s="692"/>
      <c r="SLR4739" s="695"/>
      <c r="SLS4739" s="692"/>
      <c r="SLT4739" s="695"/>
      <c r="SLU4739" s="692"/>
      <c r="SLV4739" s="695"/>
      <c r="SLW4739" s="692"/>
      <c r="SLX4739" s="695"/>
      <c r="SLY4739" s="692"/>
      <c r="SLZ4739" s="695"/>
      <c r="SMA4739" s="692"/>
      <c r="SMB4739" s="695"/>
      <c r="SMC4739" s="692"/>
      <c r="SMD4739" s="695"/>
      <c r="SME4739" s="692"/>
      <c r="SMF4739" s="695"/>
      <c r="SMG4739" s="692"/>
      <c r="SMH4739" s="695"/>
      <c r="SMI4739" s="692"/>
      <c r="SMJ4739" s="695"/>
      <c r="SMK4739" s="692"/>
      <c r="SML4739" s="695"/>
      <c r="SMM4739" s="692"/>
      <c r="SMN4739" s="695"/>
      <c r="SMO4739" s="692"/>
      <c r="SMP4739" s="695"/>
      <c r="SMQ4739" s="692"/>
      <c r="SMR4739" s="695"/>
      <c r="SMS4739" s="692"/>
      <c r="SMT4739" s="695"/>
      <c r="SMU4739" s="692"/>
      <c r="SMV4739" s="695"/>
      <c r="SMW4739" s="692"/>
      <c r="SMX4739" s="695"/>
      <c r="SMY4739" s="692"/>
      <c r="SMZ4739" s="695"/>
      <c r="SNA4739" s="692"/>
      <c r="SNB4739" s="695"/>
      <c r="SNC4739" s="692"/>
      <c r="SND4739" s="695"/>
      <c r="SNE4739" s="692"/>
      <c r="SNF4739" s="695"/>
      <c r="SNG4739" s="692"/>
      <c r="SNH4739" s="695"/>
      <c r="SNI4739" s="692"/>
      <c r="SNJ4739" s="695"/>
      <c r="SNK4739" s="692"/>
      <c r="SNL4739" s="695"/>
      <c r="SNM4739" s="692"/>
      <c r="SNN4739" s="695"/>
      <c r="SNO4739" s="692"/>
      <c r="SNP4739" s="695"/>
      <c r="SNQ4739" s="692"/>
      <c r="SNR4739" s="695"/>
      <c r="SNS4739" s="692"/>
      <c r="SNT4739" s="695"/>
      <c r="SNU4739" s="692"/>
      <c r="SNV4739" s="695"/>
      <c r="SNW4739" s="692"/>
      <c r="SNX4739" s="695"/>
      <c r="SNY4739" s="692"/>
      <c r="SNZ4739" s="695"/>
      <c r="SOA4739" s="692"/>
      <c r="SOB4739" s="695"/>
      <c r="SOC4739" s="692"/>
      <c r="SOD4739" s="695"/>
      <c r="SOE4739" s="692"/>
      <c r="SOF4739" s="695"/>
      <c r="SOG4739" s="692"/>
      <c r="SOH4739" s="695"/>
      <c r="SOI4739" s="692"/>
      <c r="SOJ4739" s="695"/>
      <c r="SOK4739" s="692"/>
      <c r="SOL4739" s="695"/>
      <c r="SOM4739" s="692"/>
      <c r="SON4739" s="695"/>
      <c r="SOO4739" s="692"/>
      <c r="SOP4739" s="695"/>
      <c r="SOQ4739" s="692"/>
      <c r="SOR4739" s="695"/>
      <c r="SOS4739" s="692"/>
      <c r="SOT4739" s="695"/>
      <c r="SOU4739" s="692"/>
      <c r="SOV4739" s="695"/>
      <c r="SOW4739" s="692"/>
      <c r="SOX4739" s="695"/>
      <c r="SOY4739" s="692"/>
      <c r="SOZ4739" s="695"/>
      <c r="SPA4739" s="692"/>
      <c r="SPB4739" s="695"/>
      <c r="SPC4739" s="692"/>
      <c r="SPD4739" s="695"/>
      <c r="SPE4739" s="692"/>
      <c r="SPF4739" s="695"/>
      <c r="SPG4739" s="692"/>
      <c r="SPH4739" s="695"/>
      <c r="SPI4739" s="692"/>
      <c r="SPJ4739" s="695"/>
      <c r="SPK4739" s="692"/>
      <c r="SPL4739" s="695"/>
      <c r="SPM4739" s="692"/>
      <c r="SPN4739" s="695"/>
      <c r="SPO4739" s="692"/>
      <c r="SPP4739" s="695"/>
      <c r="SPQ4739" s="692"/>
      <c r="SPR4739" s="695"/>
      <c r="SPS4739" s="692"/>
      <c r="SPT4739" s="695"/>
      <c r="SPU4739" s="692"/>
      <c r="SPV4739" s="695"/>
      <c r="SPW4739" s="692"/>
      <c r="SPX4739" s="695"/>
      <c r="SPY4739" s="692"/>
      <c r="SPZ4739" s="695"/>
      <c r="SQA4739" s="692"/>
      <c r="SQB4739" s="695"/>
      <c r="SQC4739" s="692"/>
      <c r="SQD4739" s="695"/>
      <c r="SQE4739" s="692"/>
      <c r="SQF4739" s="695"/>
      <c r="SQG4739" s="692"/>
      <c r="SQH4739" s="695"/>
      <c r="SQI4739" s="692"/>
      <c r="SQJ4739" s="695"/>
      <c r="SQK4739" s="692"/>
      <c r="SQL4739" s="695"/>
      <c r="SQM4739" s="692"/>
      <c r="SQN4739" s="695"/>
      <c r="SQO4739" s="692"/>
      <c r="SQP4739" s="695"/>
      <c r="SQQ4739" s="692"/>
      <c r="SQR4739" s="695"/>
      <c r="SQS4739" s="692"/>
      <c r="SQT4739" s="695"/>
      <c r="SQU4739" s="692"/>
      <c r="SQV4739" s="695"/>
      <c r="SQW4739" s="692"/>
      <c r="SQX4739" s="695"/>
      <c r="SQY4739" s="692"/>
      <c r="SQZ4739" s="695"/>
      <c r="SRA4739" s="692"/>
      <c r="SRB4739" s="695"/>
      <c r="SRC4739" s="692"/>
      <c r="SRD4739" s="695"/>
      <c r="SRE4739" s="692"/>
      <c r="SRF4739" s="695"/>
      <c r="SRG4739" s="692"/>
      <c r="SRH4739" s="695"/>
      <c r="SRI4739" s="692"/>
      <c r="SRJ4739" s="695"/>
      <c r="SRK4739" s="692"/>
      <c r="SRL4739" s="695"/>
      <c r="SRM4739" s="692"/>
      <c r="SRN4739" s="695"/>
      <c r="SRO4739" s="692"/>
      <c r="SRP4739" s="695"/>
      <c r="SRQ4739" s="692"/>
      <c r="SRR4739" s="695"/>
      <c r="SRS4739" s="692"/>
      <c r="SRT4739" s="695"/>
      <c r="SRU4739" s="692"/>
      <c r="SRV4739" s="695"/>
      <c r="SRW4739" s="692"/>
      <c r="SRX4739" s="695"/>
      <c r="SRY4739" s="692"/>
      <c r="SRZ4739" s="695"/>
      <c r="SSA4739" s="692"/>
      <c r="SSB4739" s="695"/>
      <c r="SSC4739" s="692"/>
      <c r="SSD4739" s="695"/>
      <c r="SSE4739" s="692"/>
      <c r="SSF4739" s="695"/>
      <c r="SSG4739" s="692"/>
      <c r="SSH4739" s="695"/>
      <c r="SSI4739" s="692"/>
      <c r="SSJ4739" s="695"/>
      <c r="SSK4739" s="692"/>
      <c r="SSL4739" s="695"/>
      <c r="SSM4739" s="692"/>
      <c r="SSN4739" s="695"/>
      <c r="SSO4739" s="692"/>
      <c r="SSP4739" s="695"/>
      <c r="SSQ4739" s="692"/>
      <c r="SSR4739" s="695"/>
      <c r="SSS4739" s="692"/>
      <c r="SST4739" s="695"/>
      <c r="SSU4739" s="692"/>
      <c r="SSV4739" s="695"/>
      <c r="SSW4739" s="692"/>
      <c r="SSX4739" s="695"/>
      <c r="SSY4739" s="692"/>
      <c r="SSZ4739" s="695"/>
      <c r="STA4739" s="692"/>
      <c r="STB4739" s="695"/>
      <c r="STC4739" s="692"/>
      <c r="STD4739" s="695"/>
      <c r="STE4739" s="692"/>
      <c r="STF4739" s="695"/>
      <c r="STG4739" s="692"/>
      <c r="STH4739" s="695"/>
      <c r="STI4739" s="692"/>
      <c r="STJ4739" s="695"/>
      <c r="STK4739" s="692"/>
      <c r="STL4739" s="695"/>
      <c r="STM4739" s="692"/>
      <c r="STN4739" s="695"/>
      <c r="STO4739" s="692"/>
      <c r="STP4739" s="695"/>
      <c r="STQ4739" s="692"/>
      <c r="STR4739" s="695"/>
      <c r="STS4739" s="692"/>
      <c r="STT4739" s="695"/>
      <c r="STU4739" s="692"/>
      <c r="STV4739" s="695"/>
      <c r="STW4739" s="692"/>
      <c r="STX4739" s="695"/>
      <c r="STY4739" s="692"/>
      <c r="STZ4739" s="695"/>
      <c r="SUA4739" s="692"/>
      <c r="SUB4739" s="695"/>
      <c r="SUC4739" s="692"/>
      <c r="SUD4739" s="695"/>
      <c r="SUE4739" s="692"/>
      <c r="SUF4739" s="695"/>
      <c r="SUG4739" s="692"/>
      <c r="SUH4739" s="695"/>
      <c r="SUI4739" s="692"/>
      <c r="SUJ4739" s="695"/>
      <c r="SUK4739" s="692"/>
      <c r="SUL4739" s="695"/>
      <c r="SUM4739" s="692"/>
      <c r="SUN4739" s="695"/>
      <c r="SUO4739" s="692"/>
      <c r="SUP4739" s="695"/>
      <c r="SUQ4739" s="692"/>
      <c r="SUR4739" s="695"/>
      <c r="SUS4739" s="692"/>
      <c r="SUT4739" s="695"/>
      <c r="SUU4739" s="692"/>
      <c r="SUV4739" s="695"/>
      <c r="SUW4739" s="692"/>
      <c r="SUX4739" s="695"/>
      <c r="SUY4739" s="692"/>
      <c r="SUZ4739" s="695"/>
      <c r="SVA4739" s="692"/>
      <c r="SVB4739" s="695"/>
      <c r="SVC4739" s="692"/>
      <c r="SVD4739" s="695"/>
      <c r="SVE4739" s="692"/>
      <c r="SVF4739" s="695"/>
      <c r="SVG4739" s="692"/>
      <c r="SVH4739" s="695"/>
      <c r="SVI4739" s="692"/>
      <c r="SVJ4739" s="695"/>
      <c r="SVK4739" s="692"/>
      <c r="SVL4739" s="695"/>
      <c r="SVM4739" s="692"/>
      <c r="SVN4739" s="695"/>
      <c r="SVO4739" s="692"/>
      <c r="SVP4739" s="695"/>
      <c r="SVQ4739" s="692"/>
      <c r="SVR4739" s="695"/>
      <c r="SVS4739" s="692"/>
      <c r="SVT4739" s="695"/>
      <c r="SVU4739" s="692"/>
      <c r="SVV4739" s="695"/>
      <c r="SVW4739" s="692"/>
      <c r="SVX4739" s="695"/>
      <c r="SVY4739" s="692"/>
      <c r="SVZ4739" s="695"/>
      <c r="SWA4739" s="692"/>
      <c r="SWB4739" s="695"/>
      <c r="SWC4739" s="692"/>
      <c r="SWD4739" s="695"/>
      <c r="SWE4739" s="692"/>
      <c r="SWF4739" s="695"/>
      <c r="SWG4739" s="692"/>
      <c r="SWH4739" s="695"/>
      <c r="SWI4739" s="692"/>
      <c r="SWJ4739" s="695"/>
      <c r="SWK4739" s="692"/>
      <c r="SWL4739" s="695"/>
      <c r="SWM4739" s="692"/>
      <c r="SWN4739" s="695"/>
      <c r="SWO4739" s="692"/>
      <c r="SWP4739" s="695"/>
      <c r="SWQ4739" s="692"/>
      <c r="SWR4739" s="695"/>
      <c r="SWS4739" s="692"/>
      <c r="SWT4739" s="695"/>
      <c r="SWU4739" s="692"/>
      <c r="SWV4739" s="695"/>
      <c r="SWW4739" s="692"/>
      <c r="SWX4739" s="695"/>
      <c r="SWY4739" s="692"/>
      <c r="SWZ4739" s="695"/>
      <c r="SXA4739" s="692"/>
      <c r="SXB4739" s="695"/>
      <c r="SXC4739" s="692"/>
      <c r="SXD4739" s="695"/>
      <c r="SXE4739" s="692"/>
      <c r="SXF4739" s="695"/>
      <c r="SXG4739" s="692"/>
      <c r="SXH4739" s="695"/>
      <c r="SXI4739" s="692"/>
      <c r="SXJ4739" s="695"/>
      <c r="SXK4739" s="692"/>
      <c r="SXL4739" s="695"/>
      <c r="SXM4739" s="692"/>
      <c r="SXN4739" s="695"/>
      <c r="SXO4739" s="692"/>
      <c r="SXP4739" s="695"/>
      <c r="SXQ4739" s="692"/>
      <c r="SXR4739" s="695"/>
      <c r="SXS4739" s="692"/>
      <c r="SXT4739" s="695"/>
      <c r="SXU4739" s="692"/>
      <c r="SXV4739" s="695"/>
      <c r="SXW4739" s="692"/>
      <c r="SXX4739" s="695"/>
      <c r="SXY4739" s="692"/>
      <c r="SXZ4739" s="695"/>
      <c r="SYA4739" s="692"/>
      <c r="SYB4739" s="695"/>
      <c r="SYC4739" s="692"/>
      <c r="SYD4739" s="695"/>
      <c r="SYE4739" s="692"/>
      <c r="SYF4739" s="695"/>
      <c r="SYG4739" s="692"/>
      <c r="SYH4739" s="695"/>
      <c r="SYI4739" s="692"/>
      <c r="SYJ4739" s="695"/>
      <c r="SYK4739" s="692"/>
      <c r="SYL4739" s="695"/>
      <c r="SYM4739" s="692"/>
      <c r="SYN4739" s="695"/>
      <c r="SYO4739" s="692"/>
      <c r="SYP4739" s="695"/>
      <c r="SYQ4739" s="692"/>
      <c r="SYR4739" s="695"/>
      <c r="SYS4739" s="692"/>
      <c r="SYT4739" s="695"/>
      <c r="SYU4739" s="692"/>
      <c r="SYV4739" s="695"/>
      <c r="SYW4739" s="692"/>
      <c r="SYX4739" s="695"/>
      <c r="SYY4739" s="692"/>
      <c r="SYZ4739" s="695"/>
      <c r="SZA4739" s="692"/>
      <c r="SZB4739" s="695"/>
      <c r="SZC4739" s="692"/>
      <c r="SZD4739" s="695"/>
      <c r="SZE4739" s="692"/>
      <c r="SZF4739" s="695"/>
      <c r="SZG4739" s="692"/>
      <c r="SZH4739" s="695"/>
      <c r="SZI4739" s="692"/>
      <c r="SZJ4739" s="695"/>
      <c r="SZK4739" s="692"/>
      <c r="SZL4739" s="695"/>
      <c r="SZM4739" s="692"/>
      <c r="SZN4739" s="695"/>
      <c r="SZO4739" s="692"/>
      <c r="SZP4739" s="695"/>
      <c r="SZQ4739" s="692"/>
      <c r="SZR4739" s="695"/>
      <c r="SZS4739" s="692"/>
      <c r="SZT4739" s="695"/>
      <c r="SZU4739" s="692"/>
      <c r="SZV4739" s="695"/>
      <c r="SZW4739" s="692"/>
      <c r="SZX4739" s="695"/>
      <c r="SZY4739" s="692"/>
      <c r="SZZ4739" s="695"/>
      <c r="TAA4739" s="692"/>
      <c r="TAB4739" s="695"/>
      <c r="TAC4739" s="692"/>
      <c r="TAD4739" s="695"/>
      <c r="TAE4739" s="692"/>
      <c r="TAF4739" s="695"/>
      <c r="TAG4739" s="692"/>
      <c r="TAH4739" s="695"/>
      <c r="TAI4739" s="692"/>
      <c r="TAJ4739" s="695"/>
      <c r="TAK4739" s="692"/>
      <c r="TAL4739" s="695"/>
      <c r="TAM4739" s="692"/>
      <c r="TAN4739" s="695"/>
      <c r="TAO4739" s="692"/>
      <c r="TAP4739" s="695"/>
      <c r="TAQ4739" s="692"/>
      <c r="TAR4739" s="695"/>
      <c r="TAS4739" s="692"/>
      <c r="TAT4739" s="695"/>
      <c r="TAU4739" s="692"/>
      <c r="TAV4739" s="695"/>
      <c r="TAW4739" s="692"/>
      <c r="TAX4739" s="695"/>
      <c r="TAY4739" s="692"/>
      <c r="TAZ4739" s="695"/>
      <c r="TBA4739" s="692"/>
      <c r="TBB4739" s="695"/>
      <c r="TBC4739" s="692"/>
      <c r="TBD4739" s="695"/>
      <c r="TBE4739" s="692"/>
      <c r="TBF4739" s="695"/>
      <c r="TBG4739" s="692"/>
      <c r="TBH4739" s="695"/>
      <c r="TBI4739" s="692"/>
      <c r="TBJ4739" s="695"/>
      <c r="TBK4739" s="692"/>
      <c r="TBL4739" s="695"/>
      <c r="TBM4739" s="692"/>
      <c r="TBN4739" s="695"/>
      <c r="TBO4739" s="692"/>
      <c r="TBP4739" s="695"/>
      <c r="TBQ4739" s="692"/>
      <c r="TBR4739" s="695"/>
      <c r="TBS4739" s="692"/>
      <c r="TBT4739" s="695"/>
      <c r="TBU4739" s="692"/>
      <c r="TBV4739" s="695"/>
      <c r="TBW4739" s="692"/>
      <c r="TBX4739" s="695"/>
      <c r="TBY4739" s="692"/>
      <c r="TBZ4739" s="695"/>
      <c r="TCA4739" s="692"/>
      <c r="TCB4739" s="695"/>
      <c r="TCC4739" s="692"/>
      <c r="TCD4739" s="695"/>
      <c r="TCE4739" s="692"/>
      <c r="TCF4739" s="695"/>
      <c r="TCG4739" s="692"/>
      <c r="TCH4739" s="695"/>
      <c r="TCI4739" s="692"/>
      <c r="TCJ4739" s="695"/>
      <c r="TCK4739" s="692"/>
      <c r="TCL4739" s="695"/>
      <c r="TCM4739" s="692"/>
      <c r="TCN4739" s="695"/>
      <c r="TCO4739" s="692"/>
      <c r="TCP4739" s="695"/>
      <c r="TCQ4739" s="692"/>
      <c r="TCR4739" s="695"/>
      <c r="TCS4739" s="692"/>
      <c r="TCT4739" s="695"/>
      <c r="TCU4739" s="692"/>
      <c r="TCV4739" s="695"/>
      <c r="TCW4739" s="692"/>
      <c r="TCX4739" s="695"/>
      <c r="TCY4739" s="692"/>
      <c r="TCZ4739" s="695"/>
      <c r="TDA4739" s="692"/>
      <c r="TDB4739" s="695"/>
      <c r="TDC4739" s="692"/>
      <c r="TDD4739" s="695"/>
      <c r="TDE4739" s="692"/>
      <c r="TDF4739" s="695"/>
      <c r="TDG4739" s="692"/>
      <c r="TDH4739" s="695"/>
      <c r="TDI4739" s="692"/>
      <c r="TDJ4739" s="695"/>
      <c r="TDK4739" s="692"/>
      <c r="TDL4739" s="695"/>
      <c r="TDM4739" s="692"/>
      <c r="TDN4739" s="695"/>
      <c r="TDO4739" s="692"/>
      <c r="TDP4739" s="695"/>
      <c r="TDQ4739" s="692"/>
      <c r="TDR4739" s="695"/>
      <c r="TDS4739" s="692"/>
      <c r="TDT4739" s="695"/>
      <c r="TDU4739" s="692"/>
      <c r="TDV4739" s="695"/>
      <c r="TDW4739" s="692"/>
      <c r="TDX4739" s="695"/>
      <c r="TDY4739" s="692"/>
      <c r="TDZ4739" s="695"/>
      <c r="TEA4739" s="692"/>
      <c r="TEB4739" s="695"/>
      <c r="TEC4739" s="692"/>
      <c r="TED4739" s="695"/>
      <c r="TEE4739" s="692"/>
      <c r="TEF4739" s="695"/>
      <c r="TEG4739" s="692"/>
      <c r="TEH4739" s="695"/>
      <c r="TEI4739" s="692"/>
      <c r="TEJ4739" s="695"/>
      <c r="TEK4739" s="692"/>
      <c r="TEL4739" s="695"/>
      <c r="TEM4739" s="692"/>
      <c r="TEN4739" s="695"/>
      <c r="TEO4739" s="692"/>
      <c r="TEP4739" s="695"/>
      <c r="TEQ4739" s="692"/>
      <c r="TER4739" s="695"/>
      <c r="TES4739" s="692"/>
      <c r="TET4739" s="695"/>
      <c r="TEU4739" s="692"/>
      <c r="TEV4739" s="695"/>
      <c r="TEW4739" s="692"/>
      <c r="TEX4739" s="695"/>
      <c r="TEY4739" s="692"/>
      <c r="TEZ4739" s="695"/>
      <c r="TFA4739" s="692"/>
      <c r="TFB4739" s="695"/>
      <c r="TFC4739" s="692"/>
      <c r="TFD4739" s="695"/>
      <c r="TFE4739" s="692"/>
      <c r="TFF4739" s="695"/>
      <c r="TFG4739" s="692"/>
      <c r="TFH4739" s="695"/>
      <c r="TFI4739" s="692"/>
      <c r="TFJ4739" s="695"/>
      <c r="TFK4739" s="692"/>
      <c r="TFL4739" s="695"/>
      <c r="TFM4739" s="692"/>
      <c r="TFN4739" s="695"/>
      <c r="TFO4739" s="692"/>
      <c r="TFP4739" s="695"/>
      <c r="TFQ4739" s="692"/>
      <c r="TFR4739" s="695"/>
      <c r="TFS4739" s="692"/>
      <c r="TFT4739" s="695"/>
      <c r="TFU4739" s="692"/>
      <c r="TFV4739" s="695"/>
      <c r="TFW4739" s="692"/>
      <c r="TFX4739" s="695"/>
      <c r="TFY4739" s="692"/>
      <c r="TFZ4739" s="695"/>
      <c r="TGA4739" s="692"/>
      <c r="TGB4739" s="695"/>
      <c r="TGC4739" s="692"/>
      <c r="TGD4739" s="695"/>
      <c r="TGE4739" s="692"/>
      <c r="TGF4739" s="695"/>
      <c r="TGG4739" s="692"/>
      <c r="TGH4739" s="695"/>
      <c r="TGI4739" s="692"/>
      <c r="TGJ4739" s="695"/>
      <c r="TGK4739" s="692"/>
      <c r="TGL4739" s="695"/>
      <c r="TGM4739" s="692"/>
      <c r="TGN4739" s="695"/>
      <c r="TGO4739" s="692"/>
      <c r="TGP4739" s="695"/>
      <c r="TGQ4739" s="692"/>
      <c r="TGR4739" s="695"/>
      <c r="TGS4739" s="692"/>
      <c r="TGT4739" s="695"/>
      <c r="TGU4739" s="692"/>
      <c r="TGV4739" s="695"/>
      <c r="TGW4739" s="692"/>
      <c r="TGX4739" s="695"/>
      <c r="TGY4739" s="692"/>
      <c r="TGZ4739" s="695"/>
      <c r="THA4739" s="692"/>
      <c r="THB4739" s="695"/>
      <c r="THC4739" s="692"/>
      <c r="THD4739" s="695"/>
      <c r="THE4739" s="692"/>
      <c r="THF4739" s="695"/>
      <c r="THG4739" s="692"/>
      <c r="THH4739" s="695"/>
      <c r="THI4739" s="692"/>
      <c r="THJ4739" s="695"/>
      <c r="THK4739" s="692"/>
      <c r="THL4739" s="695"/>
      <c r="THM4739" s="692"/>
      <c r="THN4739" s="695"/>
      <c r="THO4739" s="692"/>
      <c r="THP4739" s="695"/>
      <c r="THQ4739" s="692"/>
      <c r="THR4739" s="695"/>
      <c r="THS4739" s="692"/>
      <c r="THT4739" s="695"/>
      <c r="THU4739" s="692"/>
      <c r="THV4739" s="695"/>
      <c r="THW4739" s="692"/>
      <c r="THX4739" s="695"/>
      <c r="THY4739" s="692"/>
      <c r="THZ4739" s="695"/>
      <c r="TIA4739" s="692"/>
      <c r="TIB4739" s="695"/>
      <c r="TIC4739" s="692"/>
      <c r="TID4739" s="695"/>
      <c r="TIE4739" s="692"/>
      <c r="TIF4739" s="695"/>
      <c r="TIG4739" s="692"/>
      <c r="TIH4739" s="695"/>
      <c r="TII4739" s="692"/>
      <c r="TIJ4739" s="695"/>
      <c r="TIK4739" s="692"/>
      <c r="TIL4739" s="695"/>
      <c r="TIM4739" s="692"/>
      <c r="TIN4739" s="695"/>
      <c r="TIO4739" s="692"/>
      <c r="TIP4739" s="695"/>
      <c r="TIQ4739" s="692"/>
      <c r="TIR4739" s="695"/>
      <c r="TIS4739" s="692"/>
      <c r="TIT4739" s="695"/>
      <c r="TIU4739" s="692"/>
      <c r="TIV4739" s="695"/>
      <c r="TIW4739" s="692"/>
      <c r="TIX4739" s="695"/>
      <c r="TIY4739" s="692"/>
      <c r="TIZ4739" s="695"/>
      <c r="TJA4739" s="692"/>
      <c r="TJB4739" s="695"/>
      <c r="TJC4739" s="692"/>
      <c r="TJD4739" s="695"/>
      <c r="TJE4739" s="692"/>
      <c r="TJF4739" s="695"/>
      <c r="TJG4739" s="692"/>
      <c r="TJH4739" s="695"/>
      <c r="TJI4739" s="692"/>
      <c r="TJJ4739" s="695"/>
      <c r="TJK4739" s="692"/>
      <c r="TJL4739" s="695"/>
      <c r="TJM4739" s="692"/>
      <c r="TJN4739" s="695"/>
      <c r="TJO4739" s="692"/>
      <c r="TJP4739" s="695"/>
      <c r="TJQ4739" s="692"/>
      <c r="TJR4739" s="695"/>
      <c r="TJS4739" s="692"/>
      <c r="TJT4739" s="695"/>
      <c r="TJU4739" s="692"/>
      <c r="TJV4739" s="695"/>
      <c r="TJW4739" s="692"/>
      <c r="TJX4739" s="695"/>
      <c r="TJY4739" s="692"/>
      <c r="TJZ4739" s="695"/>
      <c r="TKA4739" s="692"/>
      <c r="TKB4739" s="695"/>
      <c r="TKC4739" s="692"/>
      <c r="TKD4739" s="695"/>
      <c r="TKE4739" s="692"/>
      <c r="TKF4739" s="695"/>
      <c r="TKG4739" s="692"/>
      <c r="TKH4739" s="695"/>
      <c r="TKI4739" s="692"/>
      <c r="TKJ4739" s="695"/>
      <c r="TKK4739" s="692"/>
      <c r="TKL4739" s="695"/>
      <c r="TKM4739" s="692"/>
      <c r="TKN4739" s="695"/>
      <c r="TKO4739" s="692"/>
      <c r="TKP4739" s="695"/>
      <c r="TKQ4739" s="692"/>
      <c r="TKR4739" s="695"/>
      <c r="TKS4739" s="692"/>
      <c r="TKT4739" s="695"/>
      <c r="TKU4739" s="692"/>
      <c r="TKV4739" s="695"/>
      <c r="TKW4739" s="692"/>
      <c r="TKX4739" s="695"/>
      <c r="TKY4739" s="692"/>
      <c r="TKZ4739" s="695"/>
      <c r="TLA4739" s="692"/>
      <c r="TLB4739" s="695"/>
      <c r="TLC4739" s="692"/>
      <c r="TLD4739" s="695"/>
      <c r="TLE4739" s="692"/>
      <c r="TLF4739" s="695"/>
      <c r="TLG4739" s="692"/>
      <c r="TLH4739" s="695"/>
      <c r="TLI4739" s="692"/>
      <c r="TLJ4739" s="695"/>
      <c r="TLK4739" s="692"/>
      <c r="TLL4739" s="695"/>
      <c r="TLM4739" s="692"/>
      <c r="TLN4739" s="695"/>
      <c r="TLO4739" s="692"/>
      <c r="TLP4739" s="695"/>
      <c r="TLQ4739" s="692"/>
      <c r="TLR4739" s="695"/>
      <c r="TLS4739" s="692"/>
      <c r="TLT4739" s="695"/>
      <c r="TLU4739" s="692"/>
      <c r="TLV4739" s="695"/>
      <c r="TLW4739" s="692"/>
      <c r="TLX4739" s="695"/>
      <c r="TLY4739" s="692"/>
      <c r="TLZ4739" s="695"/>
      <c r="TMA4739" s="692"/>
      <c r="TMB4739" s="695"/>
      <c r="TMC4739" s="692"/>
      <c r="TMD4739" s="695"/>
      <c r="TME4739" s="692"/>
      <c r="TMF4739" s="695"/>
      <c r="TMG4739" s="692"/>
      <c r="TMH4739" s="695"/>
      <c r="TMI4739" s="692"/>
      <c r="TMJ4739" s="695"/>
      <c r="TMK4739" s="692"/>
      <c r="TML4739" s="695"/>
      <c r="TMM4739" s="692"/>
      <c r="TMN4739" s="695"/>
      <c r="TMO4739" s="692"/>
      <c r="TMP4739" s="695"/>
      <c r="TMQ4739" s="692"/>
      <c r="TMR4739" s="695"/>
      <c r="TMS4739" s="692"/>
      <c r="TMT4739" s="695"/>
      <c r="TMU4739" s="692"/>
      <c r="TMV4739" s="695"/>
      <c r="TMW4739" s="692"/>
      <c r="TMX4739" s="695"/>
      <c r="TMY4739" s="692"/>
      <c r="TMZ4739" s="695"/>
      <c r="TNA4739" s="692"/>
      <c r="TNB4739" s="695"/>
      <c r="TNC4739" s="692"/>
      <c r="TND4739" s="695"/>
      <c r="TNE4739" s="692"/>
      <c r="TNF4739" s="695"/>
      <c r="TNG4739" s="692"/>
      <c r="TNH4739" s="695"/>
      <c r="TNI4739" s="692"/>
      <c r="TNJ4739" s="695"/>
      <c r="TNK4739" s="692"/>
      <c r="TNL4739" s="695"/>
      <c r="TNM4739" s="692"/>
      <c r="TNN4739" s="695"/>
      <c r="TNO4739" s="692"/>
      <c r="TNP4739" s="695"/>
      <c r="TNQ4739" s="692"/>
      <c r="TNR4739" s="695"/>
      <c r="TNS4739" s="692"/>
      <c r="TNT4739" s="695"/>
      <c r="TNU4739" s="692"/>
      <c r="TNV4739" s="695"/>
      <c r="TNW4739" s="692"/>
      <c r="TNX4739" s="695"/>
      <c r="TNY4739" s="692"/>
      <c r="TNZ4739" s="695"/>
      <c r="TOA4739" s="692"/>
      <c r="TOB4739" s="695"/>
      <c r="TOC4739" s="692"/>
      <c r="TOD4739" s="695"/>
      <c r="TOE4739" s="692"/>
      <c r="TOF4739" s="695"/>
      <c r="TOG4739" s="692"/>
      <c r="TOH4739" s="695"/>
      <c r="TOI4739" s="692"/>
      <c r="TOJ4739" s="695"/>
      <c r="TOK4739" s="692"/>
      <c r="TOL4739" s="695"/>
      <c r="TOM4739" s="692"/>
      <c r="TON4739" s="695"/>
      <c r="TOO4739" s="692"/>
      <c r="TOP4739" s="695"/>
      <c r="TOQ4739" s="692"/>
      <c r="TOR4739" s="695"/>
      <c r="TOS4739" s="692"/>
      <c r="TOT4739" s="695"/>
      <c r="TOU4739" s="692"/>
      <c r="TOV4739" s="695"/>
      <c r="TOW4739" s="692"/>
      <c r="TOX4739" s="695"/>
      <c r="TOY4739" s="692"/>
      <c r="TOZ4739" s="695"/>
      <c r="TPA4739" s="692"/>
      <c r="TPB4739" s="695"/>
      <c r="TPC4739" s="692"/>
      <c r="TPD4739" s="695"/>
      <c r="TPE4739" s="692"/>
      <c r="TPF4739" s="695"/>
      <c r="TPG4739" s="692"/>
      <c r="TPH4739" s="695"/>
      <c r="TPI4739" s="692"/>
      <c r="TPJ4739" s="695"/>
      <c r="TPK4739" s="692"/>
      <c r="TPL4739" s="695"/>
      <c r="TPM4739" s="692"/>
      <c r="TPN4739" s="695"/>
      <c r="TPO4739" s="692"/>
      <c r="TPP4739" s="695"/>
      <c r="TPQ4739" s="692"/>
      <c r="TPR4739" s="695"/>
      <c r="TPS4739" s="692"/>
      <c r="TPT4739" s="695"/>
      <c r="TPU4739" s="692"/>
      <c r="TPV4739" s="695"/>
      <c r="TPW4739" s="692"/>
      <c r="TPX4739" s="695"/>
      <c r="TPY4739" s="692"/>
      <c r="TPZ4739" s="695"/>
      <c r="TQA4739" s="692"/>
      <c r="TQB4739" s="695"/>
      <c r="TQC4739" s="692"/>
      <c r="TQD4739" s="695"/>
      <c r="TQE4739" s="692"/>
      <c r="TQF4739" s="695"/>
      <c r="TQG4739" s="692"/>
      <c r="TQH4739" s="695"/>
      <c r="TQI4739" s="692"/>
      <c r="TQJ4739" s="695"/>
      <c r="TQK4739" s="692"/>
      <c r="TQL4739" s="695"/>
      <c r="TQM4739" s="692"/>
      <c r="TQN4739" s="695"/>
      <c r="TQO4739" s="692"/>
      <c r="TQP4739" s="695"/>
      <c r="TQQ4739" s="692"/>
      <c r="TQR4739" s="695"/>
      <c r="TQS4739" s="692"/>
      <c r="TQT4739" s="695"/>
      <c r="TQU4739" s="692"/>
      <c r="TQV4739" s="695"/>
      <c r="TQW4739" s="692"/>
      <c r="TQX4739" s="695"/>
      <c r="TQY4739" s="692"/>
      <c r="TQZ4739" s="695"/>
      <c r="TRA4739" s="692"/>
      <c r="TRB4739" s="695"/>
      <c r="TRC4739" s="692"/>
      <c r="TRD4739" s="695"/>
      <c r="TRE4739" s="692"/>
      <c r="TRF4739" s="695"/>
      <c r="TRG4739" s="692"/>
      <c r="TRH4739" s="695"/>
      <c r="TRI4739" s="692"/>
      <c r="TRJ4739" s="695"/>
      <c r="TRK4739" s="692"/>
      <c r="TRL4739" s="695"/>
      <c r="TRM4739" s="692"/>
      <c r="TRN4739" s="695"/>
      <c r="TRO4739" s="692"/>
      <c r="TRP4739" s="695"/>
      <c r="TRQ4739" s="692"/>
      <c r="TRR4739" s="695"/>
      <c r="TRS4739" s="692"/>
      <c r="TRT4739" s="695"/>
      <c r="TRU4739" s="692"/>
      <c r="TRV4739" s="695"/>
      <c r="TRW4739" s="692"/>
      <c r="TRX4739" s="695"/>
      <c r="TRY4739" s="692"/>
      <c r="TRZ4739" s="695"/>
      <c r="TSA4739" s="692"/>
      <c r="TSB4739" s="695"/>
      <c r="TSC4739" s="692"/>
      <c r="TSD4739" s="695"/>
      <c r="TSE4739" s="692"/>
      <c r="TSF4739" s="695"/>
      <c r="TSG4739" s="692"/>
      <c r="TSH4739" s="695"/>
      <c r="TSI4739" s="692"/>
      <c r="TSJ4739" s="695"/>
      <c r="TSK4739" s="692"/>
      <c r="TSL4739" s="695"/>
      <c r="TSM4739" s="692"/>
      <c r="TSN4739" s="695"/>
      <c r="TSO4739" s="692"/>
      <c r="TSP4739" s="695"/>
      <c r="TSQ4739" s="692"/>
      <c r="TSR4739" s="695"/>
      <c r="TSS4739" s="692"/>
      <c r="TST4739" s="695"/>
      <c r="TSU4739" s="692"/>
      <c r="TSV4739" s="695"/>
      <c r="TSW4739" s="692"/>
      <c r="TSX4739" s="695"/>
      <c r="TSY4739" s="692"/>
      <c r="TSZ4739" s="695"/>
      <c r="TTA4739" s="692"/>
      <c r="TTB4739" s="695"/>
      <c r="TTC4739" s="692"/>
      <c r="TTD4739" s="695"/>
      <c r="TTE4739" s="692"/>
      <c r="TTF4739" s="695"/>
      <c r="TTG4739" s="692"/>
      <c r="TTH4739" s="695"/>
      <c r="TTI4739" s="692"/>
      <c r="TTJ4739" s="695"/>
      <c r="TTK4739" s="692"/>
      <c r="TTL4739" s="695"/>
      <c r="TTM4739" s="692"/>
      <c r="TTN4739" s="695"/>
      <c r="TTO4739" s="692"/>
      <c r="TTP4739" s="695"/>
      <c r="TTQ4739" s="692"/>
      <c r="TTR4739" s="695"/>
      <c r="TTS4739" s="692"/>
      <c r="TTT4739" s="695"/>
      <c r="TTU4739" s="692"/>
      <c r="TTV4739" s="695"/>
      <c r="TTW4739" s="692"/>
      <c r="TTX4739" s="695"/>
      <c r="TTY4739" s="692"/>
      <c r="TTZ4739" s="695"/>
      <c r="TUA4739" s="692"/>
      <c r="TUB4739" s="695"/>
      <c r="TUC4739" s="692"/>
      <c r="TUD4739" s="695"/>
      <c r="TUE4739" s="692"/>
      <c r="TUF4739" s="695"/>
      <c r="TUG4739" s="692"/>
      <c r="TUH4739" s="695"/>
      <c r="TUI4739" s="692"/>
      <c r="TUJ4739" s="695"/>
      <c r="TUK4739" s="692"/>
      <c r="TUL4739" s="695"/>
      <c r="TUM4739" s="692"/>
      <c r="TUN4739" s="695"/>
      <c r="TUO4739" s="692"/>
      <c r="TUP4739" s="695"/>
      <c r="TUQ4739" s="692"/>
      <c r="TUR4739" s="695"/>
      <c r="TUS4739" s="692"/>
      <c r="TUT4739" s="695"/>
      <c r="TUU4739" s="692"/>
      <c r="TUV4739" s="695"/>
      <c r="TUW4739" s="692"/>
      <c r="TUX4739" s="695"/>
      <c r="TUY4739" s="692"/>
      <c r="TUZ4739" s="695"/>
      <c r="TVA4739" s="692"/>
      <c r="TVB4739" s="695"/>
      <c r="TVC4739" s="692"/>
      <c r="TVD4739" s="695"/>
      <c r="TVE4739" s="692"/>
      <c r="TVF4739" s="695"/>
      <c r="TVG4739" s="692"/>
      <c r="TVH4739" s="695"/>
      <c r="TVI4739" s="692"/>
      <c r="TVJ4739" s="695"/>
      <c r="TVK4739" s="692"/>
      <c r="TVL4739" s="695"/>
      <c r="TVM4739" s="692"/>
      <c r="TVN4739" s="695"/>
      <c r="TVO4739" s="692"/>
      <c r="TVP4739" s="695"/>
      <c r="TVQ4739" s="692"/>
      <c r="TVR4739" s="695"/>
      <c r="TVS4739" s="692"/>
      <c r="TVT4739" s="695"/>
      <c r="TVU4739" s="692"/>
      <c r="TVV4739" s="695"/>
      <c r="TVW4739" s="692"/>
      <c r="TVX4739" s="695"/>
      <c r="TVY4739" s="692"/>
      <c r="TVZ4739" s="695"/>
      <c r="TWA4739" s="692"/>
      <c r="TWB4739" s="695"/>
      <c r="TWC4739" s="692"/>
      <c r="TWD4739" s="695"/>
      <c r="TWE4739" s="692"/>
      <c r="TWF4739" s="695"/>
      <c r="TWG4739" s="692"/>
      <c r="TWH4739" s="695"/>
      <c r="TWI4739" s="692"/>
      <c r="TWJ4739" s="695"/>
      <c r="TWK4739" s="692"/>
      <c r="TWL4739" s="695"/>
      <c r="TWM4739" s="692"/>
      <c r="TWN4739" s="695"/>
      <c r="TWO4739" s="692"/>
      <c r="TWP4739" s="695"/>
      <c r="TWQ4739" s="692"/>
      <c r="TWR4739" s="695"/>
      <c r="TWS4739" s="692"/>
      <c r="TWT4739" s="695"/>
      <c r="TWU4739" s="692"/>
      <c r="TWV4739" s="695"/>
      <c r="TWW4739" s="692"/>
      <c r="TWX4739" s="695"/>
      <c r="TWY4739" s="692"/>
      <c r="TWZ4739" s="695"/>
      <c r="TXA4739" s="692"/>
      <c r="TXB4739" s="695"/>
      <c r="TXC4739" s="692"/>
      <c r="TXD4739" s="695"/>
      <c r="TXE4739" s="692"/>
      <c r="TXF4739" s="695"/>
      <c r="TXG4739" s="692"/>
      <c r="TXH4739" s="695"/>
      <c r="TXI4739" s="692"/>
      <c r="TXJ4739" s="695"/>
      <c r="TXK4739" s="692"/>
      <c r="TXL4739" s="695"/>
      <c r="TXM4739" s="692"/>
      <c r="TXN4739" s="695"/>
      <c r="TXO4739" s="692"/>
      <c r="TXP4739" s="695"/>
      <c r="TXQ4739" s="692"/>
      <c r="TXR4739" s="695"/>
      <c r="TXS4739" s="692"/>
      <c r="TXT4739" s="695"/>
      <c r="TXU4739" s="692"/>
      <c r="TXV4739" s="695"/>
      <c r="TXW4739" s="692"/>
      <c r="TXX4739" s="695"/>
      <c r="TXY4739" s="692"/>
      <c r="TXZ4739" s="695"/>
      <c r="TYA4739" s="692"/>
      <c r="TYB4739" s="695"/>
      <c r="TYC4739" s="692"/>
      <c r="TYD4739" s="695"/>
      <c r="TYE4739" s="692"/>
      <c r="TYF4739" s="695"/>
      <c r="TYG4739" s="692"/>
      <c r="TYH4739" s="695"/>
      <c r="TYI4739" s="692"/>
      <c r="TYJ4739" s="695"/>
      <c r="TYK4739" s="692"/>
      <c r="TYL4739" s="695"/>
      <c r="TYM4739" s="692"/>
      <c r="TYN4739" s="695"/>
      <c r="TYO4739" s="692"/>
      <c r="TYP4739" s="695"/>
      <c r="TYQ4739" s="692"/>
      <c r="TYR4739" s="695"/>
      <c r="TYS4739" s="692"/>
      <c r="TYT4739" s="695"/>
      <c r="TYU4739" s="692"/>
      <c r="TYV4739" s="695"/>
      <c r="TYW4739" s="692"/>
      <c r="TYX4739" s="695"/>
      <c r="TYY4739" s="692"/>
      <c r="TYZ4739" s="695"/>
      <c r="TZA4739" s="692"/>
      <c r="TZB4739" s="695"/>
      <c r="TZC4739" s="692"/>
      <c r="TZD4739" s="695"/>
      <c r="TZE4739" s="692"/>
      <c r="TZF4739" s="695"/>
      <c r="TZG4739" s="692"/>
      <c r="TZH4739" s="695"/>
      <c r="TZI4739" s="692"/>
      <c r="TZJ4739" s="695"/>
      <c r="TZK4739" s="692"/>
      <c r="TZL4739" s="695"/>
      <c r="TZM4739" s="692"/>
      <c r="TZN4739" s="695"/>
      <c r="TZO4739" s="692"/>
      <c r="TZP4739" s="695"/>
      <c r="TZQ4739" s="692"/>
      <c r="TZR4739" s="695"/>
      <c r="TZS4739" s="692"/>
      <c r="TZT4739" s="695"/>
      <c r="TZU4739" s="692"/>
      <c r="TZV4739" s="695"/>
      <c r="TZW4739" s="692"/>
      <c r="TZX4739" s="695"/>
      <c r="TZY4739" s="692"/>
      <c r="TZZ4739" s="695"/>
      <c r="UAA4739" s="692"/>
      <c r="UAB4739" s="695"/>
      <c r="UAC4739" s="692"/>
      <c r="UAD4739" s="695"/>
      <c r="UAE4739" s="692"/>
      <c r="UAF4739" s="695"/>
      <c r="UAG4739" s="692"/>
      <c r="UAH4739" s="695"/>
      <c r="UAI4739" s="692"/>
      <c r="UAJ4739" s="695"/>
      <c r="UAK4739" s="692"/>
      <c r="UAL4739" s="695"/>
      <c r="UAM4739" s="692"/>
      <c r="UAN4739" s="695"/>
      <c r="UAO4739" s="692"/>
      <c r="UAP4739" s="695"/>
      <c r="UAQ4739" s="692"/>
      <c r="UAR4739" s="695"/>
      <c r="UAS4739" s="692"/>
      <c r="UAT4739" s="695"/>
      <c r="UAU4739" s="692"/>
      <c r="UAV4739" s="695"/>
      <c r="UAW4739" s="692"/>
      <c r="UAX4739" s="695"/>
      <c r="UAY4739" s="692"/>
      <c r="UAZ4739" s="695"/>
      <c r="UBA4739" s="692"/>
      <c r="UBB4739" s="695"/>
      <c r="UBC4739" s="692"/>
      <c r="UBD4739" s="695"/>
      <c r="UBE4739" s="692"/>
      <c r="UBF4739" s="695"/>
      <c r="UBG4739" s="692"/>
      <c r="UBH4739" s="695"/>
      <c r="UBI4739" s="692"/>
      <c r="UBJ4739" s="695"/>
      <c r="UBK4739" s="692"/>
      <c r="UBL4739" s="695"/>
      <c r="UBM4739" s="692"/>
      <c r="UBN4739" s="695"/>
      <c r="UBO4739" s="692"/>
      <c r="UBP4739" s="695"/>
      <c r="UBQ4739" s="692"/>
      <c r="UBR4739" s="695"/>
      <c r="UBS4739" s="692"/>
      <c r="UBT4739" s="695"/>
      <c r="UBU4739" s="692"/>
      <c r="UBV4739" s="695"/>
      <c r="UBW4739" s="692"/>
      <c r="UBX4739" s="695"/>
      <c r="UBY4739" s="692"/>
      <c r="UBZ4739" s="695"/>
      <c r="UCA4739" s="692"/>
      <c r="UCB4739" s="695"/>
      <c r="UCC4739" s="692"/>
      <c r="UCD4739" s="695"/>
      <c r="UCE4739" s="692"/>
      <c r="UCF4739" s="695"/>
      <c r="UCG4739" s="692"/>
      <c r="UCH4739" s="695"/>
      <c r="UCI4739" s="692"/>
      <c r="UCJ4739" s="695"/>
      <c r="UCK4739" s="692"/>
      <c r="UCL4739" s="695"/>
      <c r="UCM4739" s="692"/>
      <c r="UCN4739" s="695"/>
      <c r="UCO4739" s="692"/>
      <c r="UCP4739" s="695"/>
      <c r="UCQ4739" s="692"/>
      <c r="UCR4739" s="695"/>
      <c r="UCS4739" s="692"/>
      <c r="UCT4739" s="695"/>
      <c r="UCU4739" s="692"/>
      <c r="UCV4739" s="695"/>
      <c r="UCW4739" s="692"/>
      <c r="UCX4739" s="695"/>
      <c r="UCY4739" s="692"/>
      <c r="UCZ4739" s="695"/>
      <c r="UDA4739" s="692"/>
      <c r="UDB4739" s="695"/>
      <c r="UDC4739" s="692"/>
      <c r="UDD4739" s="695"/>
      <c r="UDE4739" s="692"/>
      <c r="UDF4739" s="695"/>
      <c r="UDG4739" s="692"/>
      <c r="UDH4739" s="695"/>
      <c r="UDI4739" s="692"/>
      <c r="UDJ4739" s="695"/>
      <c r="UDK4739" s="692"/>
      <c r="UDL4739" s="695"/>
      <c r="UDM4739" s="692"/>
      <c r="UDN4739" s="695"/>
      <c r="UDO4739" s="692"/>
      <c r="UDP4739" s="695"/>
      <c r="UDQ4739" s="692"/>
      <c r="UDR4739" s="695"/>
      <c r="UDS4739" s="692"/>
      <c r="UDT4739" s="695"/>
      <c r="UDU4739" s="692"/>
      <c r="UDV4739" s="695"/>
      <c r="UDW4739" s="692"/>
      <c r="UDX4739" s="695"/>
      <c r="UDY4739" s="692"/>
      <c r="UDZ4739" s="695"/>
      <c r="UEA4739" s="692"/>
      <c r="UEB4739" s="695"/>
      <c r="UEC4739" s="692"/>
      <c r="UED4739" s="695"/>
      <c r="UEE4739" s="692"/>
      <c r="UEF4739" s="695"/>
      <c r="UEG4739" s="692"/>
      <c r="UEH4739" s="695"/>
      <c r="UEI4739" s="692"/>
      <c r="UEJ4739" s="695"/>
      <c r="UEK4739" s="692"/>
      <c r="UEL4739" s="695"/>
      <c r="UEM4739" s="692"/>
      <c r="UEN4739" s="695"/>
      <c r="UEO4739" s="692"/>
      <c r="UEP4739" s="695"/>
      <c r="UEQ4739" s="692"/>
      <c r="UER4739" s="695"/>
      <c r="UES4739" s="692"/>
      <c r="UET4739" s="695"/>
      <c r="UEU4739" s="692"/>
      <c r="UEV4739" s="695"/>
      <c r="UEW4739" s="692"/>
      <c r="UEX4739" s="695"/>
      <c r="UEY4739" s="692"/>
      <c r="UEZ4739" s="695"/>
      <c r="UFA4739" s="692"/>
      <c r="UFB4739" s="695"/>
      <c r="UFC4739" s="692"/>
      <c r="UFD4739" s="695"/>
      <c r="UFE4739" s="692"/>
      <c r="UFF4739" s="695"/>
      <c r="UFG4739" s="692"/>
      <c r="UFH4739" s="695"/>
      <c r="UFI4739" s="692"/>
      <c r="UFJ4739" s="695"/>
      <c r="UFK4739" s="692"/>
      <c r="UFL4739" s="695"/>
      <c r="UFM4739" s="692"/>
      <c r="UFN4739" s="695"/>
      <c r="UFO4739" s="692"/>
      <c r="UFP4739" s="695"/>
      <c r="UFQ4739" s="692"/>
      <c r="UFR4739" s="695"/>
      <c r="UFS4739" s="692"/>
      <c r="UFT4739" s="695"/>
      <c r="UFU4739" s="692"/>
      <c r="UFV4739" s="695"/>
      <c r="UFW4739" s="692"/>
      <c r="UFX4739" s="695"/>
      <c r="UFY4739" s="692"/>
      <c r="UFZ4739" s="695"/>
      <c r="UGA4739" s="692"/>
      <c r="UGB4739" s="695"/>
      <c r="UGC4739" s="692"/>
      <c r="UGD4739" s="695"/>
      <c r="UGE4739" s="692"/>
      <c r="UGF4739" s="695"/>
      <c r="UGG4739" s="692"/>
      <c r="UGH4739" s="695"/>
      <c r="UGI4739" s="692"/>
      <c r="UGJ4739" s="695"/>
      <c r="UGK4739" s="692"/>
      <c r="UGL4739" s="695"/>
      <c r="UGM4739" s="692"/>
      <c r="UGN4739" s="695"/>
      <c r="UGO4739" s="692"/>
      <c r="UGP4739" s="695"/>
      <c r="UGQ4739" s="692"/>
      <c r="UGR4739" s="695"/>
      <c r="UGS4739" s="692"/>
      <c r="UGT4739" s="695"/>
      <c r="UGU4739" s="692"/>
      <c r="UGV4739" s="695"/>
      <c r="UGW4739" s="692"/>
      <c r="UGX4739" s="695"/>
      <c r="UGY4739" s="692"/>
      <c r="UGZ4739" s="695"/>
      <c r="UHA4739" s="692"/>
      <c r="UHB4739" s="695"/>
      <c r="UHC4739" s="692"/>
      <c r="UHD4739" s="695"/>
      <c r="UHE4739" s="692"/>
      <c r="UHF4739" s="695"/>
      <c r="UHG4739" s="692"/>
      <c r="UHH4739" s="695"/>
      <c r="UHI4739" s="692"/>
      <c r="UHJ4739" s="695"/>
      <c r="UHK4739" s="692"/>
      <c r="UHL4739" s="695"/>
      <c r="UHM4739" s="692"/>
      <c r="UHN4739" s="695"/>
      <c r="UHO4739" s="692"/>
      <c r="UHP4739" s="695"/>
      <c r="UHQ4739" s="692"/>
      <c r="UHR4739" s="695"/>
      <c r="UHS4739" s="692"/>
      <c r="UHT4739" s="695"/>
      <c r="UHU4739" s="692"/>
      <c r="UHV4739" s="695"/>
      <c r="UHW4739" s="692"/>
      <c r="UHX4739" s="695"/>
      <c r="UHY4739" s="692"/>
      <c r="UHZ4739" s="695"/>
      <c r="UIA4739" s="692"/>
      <c r="UIB4739" s="695"/>
      <c r="UIC4739" s="692"/>
      <c r="UID4739" s="695"/>
      <c r="UIE4739" s="692"/>
      <c r="UIF4739" s="695"/>
      <c r="UIG4739" s="692"/>
      <c r="UIH4739" s="695"/>
      <c r="UII4739" s="692"/>
      <c r="UIJ4739" s="695"/>
      <c r="UIK4739" s="692"/>
      <c r="UIL4739" s="695"/>
      <c r="UIM4739" s="692"/>
      <c r="UIN4739" s="695"/>
      <c r="UIO4739" s="692"/>
      <c r="UIP4739" s="695"/>
      <c r="UIQ4739" s="692"/>
      <c r="UIR4739" s="695"/>
      <c r="UIS4739" s="692"/>
      <c r="UIT4739" s="695"/>
      <c r="UIU4739" s="692"/>
      <c r="UIV4739" s="695"/>
      <c r="UIW4739" s="692"/>
      <c r="UIX4739" s="695"/>
      <c r="UIY4739" s="692"/>
      <c r="UIZ4739" s="695"/>
      <c r="UJA4739" s="692"/>
      <c r="UJB4739" s="695"/>
      <c r="UJC4739" s="692"/>
      <c r="UJD4739" s="695"/>
      <c r="UJE4739" s="692"/>
      <c r="UJF4739" s="695"/>
      <c r="UJG4739" s="692"/>
      <c r="UJH4739" s="695"/>
      <c r="UJI4739" s="692"/>
      <c r="UJJ4739" s="695"/>
      <c r="UJK4739" s="692"/>
      <c r="UJL4739" s="695"/>
      <c r="UJM4739" s="692"/>
      <c r="UJN4739" s="695"/>
      <c r="UJO4739" s="692"/>
      <c r="UJP4739" s="695"/>
      <c r="UJQ4739" s="692"/>
      <c r="UJR4739" s="695"/>
      <c r="UJS4739" s="692"/>
      <c r="UJT4739" s="695"/>
      <c r="UJU4739" s="692"/>
      <c r="UJV4739" s="695"/>
      <c r="UJW4739" s="692"/>
      <c r="UJX4739" s="695"/>
      <c r="UJY4739" s="692"/>
      <c r="UJZ4739" s="695"/>
      <c r="UKA4739" s="692"/>
      <c r="UKB4739" s="695"/>
      <c r="UKC4739" s="692"/>
      <c r="UKD4739" s="695"/>
      <c r="UKE4739" s="692"/>
      <c r="UKF4739" s="695"/>
      <c r="UKG4739" s="692"/>
      <c r="UKH4739" s="695"/>
      <c r="UKI4739" s="692"/>
      <c r="UKJ4739" s="695"/>
      <c r="UKK4739" s="692"/>
      <c r="UKL4739" s="695"/>
      <c r="UKM4739" s="692"/>
      <c r="UKN4739" s="695"/>
      <c r="UKO4739" s="692"/>
      <c r="UKP4739" s="695"/>
      <c r="UKQ4739" s="692"/>
      <c r="UKR4739" s="695"/>
      <c r="UKS4739" s="692"/>
      <c r="UKT4739" s="695"/>
      <c r="UKU4739" s="692"/>
      <c r="UKV4739" s="695"/>
      <c r="UKW4739" s="692"/>
      <c r="UKX4739" s="695"/>
      <c r="UKY4739" s="692"/>
      <c r="UKZ4739" s="695"/>
      <c r="ULA4739" s="692"/>
      <c r="ULB4739" s="695"/>
      <c r="ULC4739" s="692"/>
      <c r="ULD4739" s="695"/>
      <c r="ULE4739" s="692"/>
      <c r="ULF4739" s="695"/>
      <c r="ULG4739" s="692"/>
      <c r="ULH4739" s="695"/>
      <c r="ULI4739" s="692"/>
      <c r="ULJ4739" s="695"/>
      <c r="ULK4739" s="692"/>
      <c r="ULL4739" s="695"/>
      <c r="ULM4739" s="692"/>
      <c r="ULN4739" s="695"/>
      <c r="ULO4739" s="692"/>
      <c r="ULP4739" s="695"/>
      <c r="ULQ4739" s="692"/>
      <c r="ULR4739" s="695"/>
      <c r="ULS4739" s="692"/>
      <c r="ULT4739" s="695"/>
      <c r="ULU4739" s="692"/>
      <c r="ULV4739" s="695"/>
      <c r="ULW4739" s="692"/>
      <c r="ULX4739" s="695"/>
      <c r="ULY4739" s="692"/>
      <c r="ULZ4739" s="695"/>
      <c r="UMA4739" s="692"/>
      <c r="UMB4739" s="695"/>
      <c r="UMC4739" s="692"/>
      <c r="UMD4739" s="695"/>
      <c r="UME4739" s="692"/>
      <c r="UMF4739" s="695"/>
      <c r="UMG4739" s="692"/>
      <c r="UMH4739" s="695"/>
      <c r="UMI4739" s="692"/>
      <c r="UMJ4739" s="695"/>
      <c r="UMK4739" s="692"/>
      <c r="UML4739" s="695"/>
      <c r="UMM4739" s="692"/>
      <c r="UMN4739" s="695"/>
      <c r="UMO4739" s="692"/>
      <c r="UMP4739" s="695"/>
      <c r="UMQ4739" s="692"/>
      <c r="UMR4739" s="695"/>
      <c r="UMS4739" s="692"/>
      <c r="UMT4739" s="695"/>
      <c r="UMU4739" s="692"/>
      <c r="UMV4739" s="695"/>
      <c r="UMW4739" s="692"/>
      <c r="UMX4739" s="695"/>
      <c r="UMY4739" s="692"/>
      <c r="UMZ4739" s="695"/>
      <c r="UNA4739" s="692"/>
      <c r="UNB4739" s="695"/>
      <c r="UNC4739" s="692"/>
      <c r="UND4739" s="695"/>
      <c r="UNE4739" s="692"/>
      <c r="UNF4739" s="695"/>
      <c r="UNG4739" s="692"/>
      <c r="UNH4739" s="695"/>
      <c r="UNI4739" s="692"/>
      <c r="UNJ4739" s="695"/>
      <c r="UNK4739" s="692"/>
      <c r="UNL4739" s="695"/>
      <c r="UNM4739" s="692"/>
      <c r="UNN4739" s="695"/>
      <c r="UNO4739" s="692"/>
      <c r="UNP4739" s="695"/>
      <c r="UNQ4739" s="692"/>
      <c r="UNR4739" s="695"/>
      <c r="UNS4739" s="692"/>
      <c r="UNT4739" s="695"/>
      <c r="UNU4739" s="692"/>
      <c r="UNV4739" s="695"/>
      <c r="UNW4739" s="692"/>
      <c r="UNX4739" s="695"/>
      <c r="UNY4739" s="692"/>
      <c r="UNZ4739" s="695"/>
      <c r="UOA4739" s="692"/>
      <c r="UOB4739" s="695"/>
      <c r="UOC4739" s="692"/>
      <c r="UOD4739" s="695"/>
      <c r="UOE4739" s="692"/>
      <c r="UOF4739" s="695"/>
      <c r="UOG4739" s="692"/>
      <c r="UOH4739" s="695"/>
      <c r="UOI4739" s="692"/>
      <c r="UOJ4739" s="695"/>
      <c r="UOK4739" s="692"/>
      <c r="UOL4739" s="695"/>
      <c r="UOM4739" s="692"/>
      <c r="UON4739" s="695"/>
      <c r="UOO4739" s="692"/>
      <c r="UOP4739" s="695"/>
      <c r="UOQ4739" s="692"/>
      <c r="UOR4739" s="695"/>
      <c r="UOS4739" s="692"/>
      <c r="UOT4739" s="695"/>
      <c r="UOU4739" s="692"/>
      <c r="UOV4739" s="695"/>
      <c r="UOW4739" s="692"/>
      <c r="UOX4739" s="695"/>
      <c r="UOY4739" s="692"/>
      <c r="UOZ4739" s="695"/>
      <c r="UPA4739" s="692"/>
      <c r="UPB4739" s="695"/>
      <c r="UPC4739" s="692"/>
      <c r="UPD4739" s="695"/>
      <c r="UPE4739" s="692"/>
      <c r="UPF4739" s="695"/>
      <c r="UPG4739" s="692"/>
      <c r="UPH4739" s="695"/>
      <c r="UPI4739" s="692"/>
      <c r="UPJ4739" s="695"/>
      <c r="UPK4739" s="692"/>
      <c r="UPL4739" s="695"/>
      <c r="UPM4739" s="692"/>
      <c r="UPN4739" s="695"/>
      <c r="UPO4739" s="692"/>
      <c r="UPP4739" s="695"/>
      <c r="UPQ4739" s="692"/>
      <c r="UPR4739" s="695"/>
      <c r="UPS4739" s="692"/>
      <c r="UPT4739" s="695"/>
      <c r="UPU4739" s="692"/>
      <c r="UPV4739" s="695"/>
      <c r="UPW4739" s="692"/>
      <c r="UPX4739" s="695"/>
      <c r="UPY4739" s="692"/>
      <c r="UPZ4739" s="695"/>
      <c r="UQA4739" s="692"/>
      <c r="UQB4739" s="695"/>
      <c r="UQC4739" s="692"/>
      <c r="UQD4739" s="695"/>
      <c r="UQE4739" s="692"/>
      <c r="UQF4739" s="695"/>
      <c r="UQG4739" s="692"/>
      <c r="UQH4739" s="695"/>
      <c r="UQI4739" s="692"/>
      <c r="UQJ4739" s="695"/>
      <c r="UQK4739" s="692"/>
      <c r="UQL4739" s="695"/>
      <c r="UQM4739" s="692"/>
      <c r="UQN4739" s="695"/>
      <c r="UQO4739" s="692"/>
      <c r="UQP4739" s="695"/>
      <c r="UQQ4739" s="692"/>
      <c r="UQR4739" s="695"/>
      <c r="UQS4739" s="692"/>
      <c r="UQT4739" s="695"/>
      <c r="UQU4739" s="692"/>
      <c r="UQV4739" s="695"/>
      <c r="UQW4739" s="692"/>
      <c r="UQX4739" s="695"/>
      <c r="UQY4739" s="692"/>
      <c r="UQZ4739" s="695"/>
      <c r="URA4739" s="692"/>
      <c r="URB4739" s="695"/>
      <c r="URC4739" s="692"/>
      <c r="URD4739" s="695"/>
      <c r="URE4739" s="692"/>
      <c r="URF4739" s="695"/>
      <c r="URG4739" s="692"/>
      <c r="URH4739" s="695"/>
      <c r="URI4739" s="692"/>
      <c r="URJ4739" s="695"/>
      <c r="URK4739" s="692"/>
      <c r="URL4739" s="695"/>
      <c r="URM4739" s="692"/>
      <c r="URN4739" s="695"/>
      <c r="URO4739" s="692"/>
      <c r="URP4739" s="695"/>
      <c r="URQ4739" s="692"/>
      <c r="URR4739" s="695"/>
      <c r="URS4739" s="692"/>
      <c r="URT4739" s="695"/>
      <c r="URU4739" s="692"/>
      <c r="URV4739" s="695"/>
      <c r="URW4739" s="692"/>
      <c r="URX4739" s="695"/>
      <c r="URY4739" s="692"/>
      <c r="URZ4739" s="695"/>
      <c r="USA4739" s="692"/>
      <c r="USB4739" s="695"/>
      <c r="USC4739" s="692"/>
      <c r="USD4739" s="695"/>
      <c r="USE4739" s="692"/>
      <c r="USF4739" s="695"/>
      <c r="USG4739" s="692"/>
      <c r="USH4739" s="695"/>
      <c r="USI4739" s="692"/>
      <c r="USJ4739" s="695"/>
      <c r="USK4739" s="692"/>
      <c r="USL4739" s="695"/>
      <c r="USM4739" s="692"/>
      <c r="USN4739" s="695"/>
      <c r="USO4739" s="692"/>
      <c r="USP4739" s="695"/>
      <c r="USQ4739" s="692"/>
      <c r="USR4739" s="695"/>
      <c r="USS4739" s="692"/>
      <c r="UST4739" s="695"/>
      <c r="USU4739" s="692"/>
      <c r="USV4739" s="695"/>
      <c r="USW4739" s="692"/>
      <c r="USX4739" s="695"/>
      <c r="USY4739" s="692"/>
      <c r="USZ4739" s="695"/>
      <c r="UTA4739" s="692"/>
      <c r="UTB4739" s="695"/>
      <c r="UTC4739" s="692"/>
      <c r="UTD4739" s="695"/>
      <c r="UTE4739" s="692"/>
      <c r="UTF4739" s="695"/>
      <c r="UTG4739" s="692"/>
      <c r="UTH4739" s="695"/>
      <c r="UTI4739" s="692"/>
      <c r="UTJ4739" s="695"/>
      <c r="UTK4739" s="692"/>
      <c r="UTL4739" s="695"/>
      <c r="UTM4739" s="692"/>
      <c r="UTN4739" s="695"/>
      <c r="UTO4739" s="692"/>
      <c r="UTP4739" s="695"/>
      <c r="UTQ4739" s="692"/>
      <c r="UTR4739" s="695"/>
      <c r="UTS4739" s="692"/>
      <c r="UTT4739" s="695"/>
      <c r="UTU4739" s="692"/>
      <c r="UTV4739" s="695"/>
      <c r="UTW4739" s="692"/>
      <c r="UTX4739" s="695"/>
      <c r="UTY4739" s="692"/>
      <c r="UTZ4739" s="695"/>
      <c r="UUA4739" s="692"/>
      <c r="UUB4739" s="695"/>
      <c r="UUC4739" s="692"/>
      <c r="UUD4739" s="695"/>
      <c r="UUE4739" s="692"/>
      <c r="UUF4739" s="695"/>
      <c r="UUG4739" s="692"/>
      <c r="UUH4739" s="695"/>
      <c r="UUI4739" s="692"/>
      <c r="UUJ4739" s="695"/>
      <c r="UUK4739" s="692"/>
      <c r="UUL4739" s="695"/>
      <c r="UUM4739" s="692"/>
      <c r="UUN4739" s="695"/>
      <c r="UUO4739" s="692"/>
      <c r="UUP4739" s="695"/>
      <c r="UUQ4739" s="692"/>
      <c r="UUR4739" s="695"/>
      <c r="UUS4739" s="692"/>
      <c r="UUT4739" s="695"/>
      <c r="UUU4739" s="692"/>
      <c r="UUV4739" s="695"/>
      <c r="UUW4739" s="692"/>
      <c r="UUX4739" s="695"/>
      <c r="UUY4739" s="692"/>
      <c r="UUZ4739" s="695"/>
      <c r="UVA4739" s="692"/>
      <c r="UVB4739" s="695"/>
      <c r="UVC4739" s="692"/>
      <c r="UVD4739" s="695"/>
      <c r="UVE4739" s="692"/>
      <c r="UVF4739" s="695"/>
      <c r="UVG4739" s="692"/>
      <c r="UVH4739" s="695"/>
      <c r="UVI4739" s="692"/>
      <c r="UVJ4739" s="695"/>
      <c r="UVK4739" s="692"/>
      <c r="UVL4739" s="695"/>
      <c r="UVM4739" s="692"/>
      <c r="UVN4739" s="695"/>
      <c r="UVO4739" s="692"/>
      <c r="UVP4739" s="695"/>
      <c r="UVQ4739" s="692"/>
      <c r="UVR4739" s="695"/>
      <c r="UVS4739" s="692"/>
      <c r="UVT4739" s="695"/>
      <c r="UVU4739" s="692"/>
      <c r="UVV4739" s="695"/>
      <c r="UVW4739" s="692"/>
      <c r="UVX4739" s="695"/>
      <c r="UVY4739" s="692"/>
      <c r="UVZ4739" s="695"/>
      <c r="UWA4739" s="692"/>
      <c r="UWB4739" s="695"/>
      <c r="UWC4739" s="692"/>
      <c r="UWD4739" s="695"/>
      <c r="UWE4739" s="692"/>
      <c r="UWF4739" s="695"/>
      <c r="UWG4739" s="692"/>
      <c r="UWH4739" s="695"/>
      <c r="UWI4739" s="692"/>
      <c r="UWJ4739" s="695"/>
      <c r="UWK4739" s="692"/>
      <c r="UWL4739" s="695"/>
      <c r="UWM4739" s="692"/>
      <c r="UWN4739" s="695"/>
      <c r="UWO4739" s="692"/>
      <c r="UWP4739" s="695"/>
      <c r="UWQ4739" s="692"/>
      <c r="UWR4739" s="695"/>
      <c r="UWS4739" s="692"/>
      <c r="UWT4739" s="695"/>
      <c r="UWU4739" s="692"/>
      <c r="UWV4739" s="695"/>
      <c r="UWW4739" s="692"/>
      <c r="UWX4739" s="695"/>
      <c r="UWY4739" s="692"/>
      <c r="UWZ4739" s="695"/>
      <c r="UXA4739" s="692"/>
      <c r="UXB4739" s="695"/>
      <c r="UXC4739" s="692"/>
      <c r="UXD4739" s="695"/>
      <c r="UXE4739" s="692"/>
      <c r="UXF4739" s="695"/>
      <c r="UXG4739" s="692"/>
      <c r="UXH4739" s="695"/>
      <c r="UXI4739" s="692"/>
      <c r="UXJ4739" s="695"/>
      <c r="UXK4739" s="692"/>
      <c r="UXL4739" s="695"/>
      <c r="UXM4739" s="692"/>
      <c r="UXN4739" s="695"/>
      <c r="UXO4739" s="692"/>
      <c r="UXP4739" s="695"/>
      <c r="UXQ4739" s="692"/>
      <c r="UXR4739" s="695"/>
      <c r="UXS4739" s="692"/>
      <c r="UXT4739" s="695"/>
      <c r="UXU4739" s="692"/>
      <c r="UXV4739" s="695"/>
      <c r="UXW4739" s="692"/>
      <c r="UXX4739" s="695"/>
      <c r="UXY4739" s="692"/>
      <c r="UXZ4739" s="695"/>
      <c r="UYA4739" s="692"/>
      <c r="UYB4739" s="695"/>
      <c r="UYC4739" s="692"/>
      <c r="UYD4739" s="695"/>
      <c r="UYE4739" s="692"/>
      <c r="UYF4739" s="695"/>
      <c r="UYG4739" s="692"/>
      <c r="UYH4739" s="695"/>
      <c r="UYI4739" s="692"/>
      <c r="UYJ4739" s="695"/>
      <c r="UYK4739" s="692"/>
      <c r="UYL4739" s="695"/>
      <c r="UYM4739" s="692"/>
      <c r="UYN4739" s="695"/>
      <c r="UYO4739" s="692"/>
      <c r="UYP4739" s="695"/>
      <c r="UYQ4739" s="692"/>
      <c r="UYR4739" s="695"/>
      <c r="UYS4739" s="692"/>
      <c r="UYT4739" s="695"/>
      <c r="UYU4739" s="692"/>
      <c r="UYV4739" s="695"/>
      <c r="UYW4739" s="692"/>
      <c r="UYX4739" s="695"/>
      <c r="UYY4739" s="692"/>
      <c r="UYZ4739" s="695"/>
      <c r="UZA4739" s="692"/>
      <c r="UZB4739" s="695"/>
      <c r="UZC4739" s="692"/>
      <c r="UZD4739" s="695"/>
      <c r="UZE4739" s="692"/>
      <c r="UZF4739" s="695"/>
      <c r="UZG4739" s="692"/>
      <c r="UZH4739" s="695"/>
      <c r="UZI4739" s="692"/>
      <c r="UZJ4739" s="695"/>
      <c r="UZK4739" s="692"/>
      <c r="UZL4739" s="695"/>
      <c r="UZM4739" s="692"/>
      <c r="UZN4739" s="695"/>
      <c r="UZO4739" s="692"/>
      <c r="UZP4739" s="695"/>
      <c r="UZQ4739" s="692"/>
      <c r="UZR4739" s="695"/>
      <c r="UZS4739" s="692"/>
      <c r="UZT4739" s="695"/>
      <c r="UZU4739" s="692"/>
      <c r="UZV4739" s="695"/>
      <c r="UZW4739" s="692"/>
      <c r="UZX4739" s="695"/>
      <c r="UZY4739" s="692"/>
      <c r="UZZ4739" s="695"/>
      <c r="VAA4739" s="692"/>
      <c r="VAB4739" s="695"/>
      <c r="VAC4739" s="692"/>
      <c r="VAD4739" s="695"/>
      <c r="VAE4739" s="692"/>
      <c r="VAF4739" s="695"/>
      <c r="VAG4739" s="692"/>
      <c r="VAH4739" s="695"/>
      <c r="VAI4739" s="692"/>
      <c r="VAJ4739" s="695"/>
      <c r="VAK4739" s="692"/>
      <c r="VAL4739" s="695"/>
      <c r="VAM4739" s="692"/>
      <c r="VAN4739" s="695"/>
      <c r="VAO4739" s="692"/>
      <c r="VAP4739" s="695"/>
      <c r="VAQ4739" s="692"/>
      <c r="VAR4739" s="695"/>
      <c r="VAS4739" s="692"/>
      <c r="VAT4739" s="695"/>
      <c r="VAU4739" s="692"/>
      <c r="VAV4739" s="695"/>
      <c r="VAW4739" s="692"/>
      <c r="VAX4739" s="695"/>
      <c r="VAY4739" s="692"/>
      <c r="VAZ4739" s="695"/>
      <c r="VBA4739" s="692"/>
      <c r="VBB4739" s="695"/>
      <c r="VBC4739" s="692"/>
      <c r="VBD4739" s="695"/>
      <c r="VBE4739" s="692"/>
      <c r="VBF4739" s="695"/>
      <c r="VBG4739" s="692"/>
      <c r="VBH4739" s="695"/>
      <c r="VBI4739" s="692"/>
      <c r="VBJ4739" s="695"/>
      <c r="VBK4739" s="692"/>
      <c r="VBL4739" s="695"/>
      <c r="VBM4739" s="692"/>
      <c r="VBN4739" s="695"/>
      <c r="VBO4739" s="692"/>
      <c r="VBP4739" s="695"/>
      <c r="VBQ4739" s="692"/>
      <c r="VBR4739" s="695"/>
      <c r="VBS4739" s="692"/>
      <c r="VBT4739" s="695"/>
      <c r="VBU4739" s="692"/>
      <c r="VBV4739" s="695"/>
      <c r="VBW4739" s="692"/>
      <c r="VBX4739" s="695"/>
      <c r="VBY4739" s="692"/>
      <c r="VBZ4739" s="695"/>
      <c r="VCA4739" s="692"/>
      <c r="VCB4739" s="695"/>
      <c r="VCC4739" s="692"/>
      <c r="VCD4739" s="695"/>
      <c r="VCE4739" s="692"/>
      <c r="VCF4739" s="695"/>
      <c r="VCG4739" s="692"/>
      <c r="VCH4739" s="695"/>
      <c r="VCI4739" s="692"/>
      <c r="VCJ4739" s="695"/>
      <c r="VCK4739" s="692"/>
      <c r="VCL4739" s="695"/>
      <c r="VCM4739" s="692"/>
      <c r="VCN4739" s="695"/>
      <c r="VCO4739" s="692"/>
      <c r="VCP4739" s="695"/>
      <c r="VCQ4739" s="692"/>
      <c r="VCR4739" s="695"/>
      <c r="VCS4739" s="692"/>
      <c r="VCT4739" s="695"/>
      <c r="VCU4739" s="692"/>
      <c r="VCV4739" s="695"/>
      <c r="VCW4739" s="692"/>
      <c r="VCX4739" s="695"/>
      <c r="VCY4739" s="692"/>
      <c r="VCZ4739" s="695"/>
      <c r="VDA4739" s="692"/>
      <c r="VDB4739" s="695"/>
      <c r="VDC4739" s="692"/>
      <c r="VDD4739" s="695"/>
      <c r="VDE4739" s="692"/>
      <c r="VDF4739" s="695"/>
      <c r="VDG4739" s="692"/>
      <c r="VDH4739" s="695"/>
      <c r="VDI4739" s="692"/>
      <c r="VDJ4739" s="695"/>
      <c r="VDK4739" s="692"/>
      <c r="VDL4739" s="695"/>
      <c r="VDM4739" s="692"/>
      <c r="VDN4739" s="695"/>
      <c r="VDO4739" s="692"/>
      <c r="VDP4739" s="695"/>
      <c r="VDQ4739" s="692"/>
      <c r="VDR4739" s="695"/>
      <c r="VDS4739" s="692"/>
      <c r="VDT4739" s="695"/>
      <c r="VDU4739" s="692"/>
      <c r="VDV4739" s="695"/>
      <c r="VDW4739" s="692"/>
      <c r="VDX4739" s="695"/>
      <c r="VDY4739" s="692"/>
      <c r="VDZ4739" s="695"/>
      <c r="VEA4739" s="692"/>
      <c r="VEB4739" s="695"/>
      <c r="VEC4739" s="692"/>
      <c r="VED4739" s="695"/>
      <c r="VEE4739" s="692"/>
      <c r="VEF4739" s="695"/>
      <c r="VEG4739" s="692"/>
      <c r="VEH4739" s="695"/>
      <c r="VEI4739" s="692"/>
      <c r="VEJ4739" s="695"/>
      <c r="VEK4739" s="692"/>
      <c r="VEL4739" s="695"/>
      <c r="VEM4739" s="692"/>
      <c r="VEN4739" s="695"/>
      <c r="VEO4739" s="692"/>
      <c r="VEP4739" s="695"/>
      <c r="VEQ4739" s="692"/>
      <c r="VER4739" s="695"/>
      <c r="VES4739" s="692"/>
      <c r="VET4739" s="695"/>
      <c r="VEU4739" s="692"/>
      <c r="VEV4739" s="695"/>
      <c r="VEW4739" s="692"/>
      <c r="VEX4739" s="695"/>
      <c r="VEY4739" s="692"/>
      <c r="VEZ4739" s="695"/>
      <c r="VFA4739" s="692"/>
      <c r="VFB4739" s="695"/>
      <c r="VFC4739" s="692"/>
      <c r="VFD4739" s="695"/>
      <c r="VFE4739" s="692"/>
      <c r="VFF4739" s="695"/>
      <c r="VFG4739" s="692"/>
      <c r="VFH4739" s="695"/>
      <c r="VFI4739" s="692"/>
      <c r="VFJ4739" s="695"/>
      <c r="VFK4739" s="692"/>
      <c r="VFL4739" s="695"/>
      <c r="VFM4739" s="692"/>
      <c r="VFN4739" s="695"/>
      <c r="VFO4739" s="692"/>
      <c r="VFP4739" s="695"/>
      <c r="VFQ4739" s="692"/>
      <c r="VFR4739" s="695"/>
      <c r="VFS4739" s="692"/>
      <c r="VFT4739" s="695"/>
      <c r="VFU4739" s="692"/>
      <c r="VFV4739" s="695"/>
      <c r="VFW4739" s="692"/>
      <c r="VFX4739" s="695"/>
      <c r="VFY4739" s="692"/>
      <c r="VFZ4739" s="695"/>
      <c r="VGA4739" s="692"/>
      <c r="VGB4739" s="695"/>
      <c r="VGC4739" s="692"/>
      <c r="VGD4739" s="695"/>
      <c r="VGE4739" s="692"/>
      <c r="VGF4739" s="695"/>
      <c r="VGG4739" s="692"/>
      <c r="VGH4739" s="695"/>
      <c r="VGI4739" s="692"/>
      <c r="VGJ4739" s="695"/>
      <c r="VGK4739" s="692"/>
      <c r="VGL4739" s="695"/>
      <c r="VGM4739" s="692"/>
      <c r="VGN4739" s="695"/>
      <c r="VGO4739" s="692"/>
      <c r="VGP4739" s="695"/>
      <c r="VGQ4739" s="692"/>
      <c r="VGR4739" s="695"/>
      <c r="VGS4739" s="692"/>
      <c r="VGT4739" s="695"/>
      <c r="VGU4739" s="692"/>
      <c r="VGV4739" s="695"/>
      <c r="VGW4739" s="692"/>
      <c r="VGX4739" s="695"/>
      <c r="VGY4739" s="692"/>
      <c r="VGZ4739" s="695"/>
      <c r="VHA4739" s="692"/>
      <c r="VHB4739" s="695"/>
      <c r="VHC4739" s="692"/>
      <c r="VHD4739" s="695"/>
      <c r="VHE4739" s="692"/>
      <c r="VHF4739" s="695"/>
      <c r="VHG4739" s="692"/>
      <c r="VHH4739" s="695"/>
      <c r="VHI4739" s="692"/>
      <c r="VHJ4739" s="695"/>
      <c r="VHK4739" s="692"/>
      <c r="VHL4739" s="695"/>
      <c r="VHM4739" s="692"/>
      <c r="VHN4739" s="695"/>
      <c r="VHO4739" s="692"/>
      <c r="VHP4739" s="695"/>
      <c r="VHQ4739" s="692"/>
      <c r="VHR4739" s="695"/>
      <c r="VHS4739" s="692"/>
      <c r="VHT4739" s="695"/>
      <c r="VHU4739" s="692"/>
      <c r="VHV4739" s="695"/>
      <c r="VHW4739" s="692"/>
      <c r="VHX4739" s="695"/>
      <c r="VHY4739" s="692"/>
      <c r="VHZ4739" s="695"/>
      <c r="VIA4739" s="692"/>
      <c r="VIB4739" s="695"/>
      <c r="VIC4739" s="692"/>
      <c r="VID4739" s="695"/>
      <c r="VIE4739" s="692"/>
      <c r="VIF4739" s="695"/>
      <c r="VIG4739" s="692"/>
      <c r="VIH4739" s="695"/>
      <c r="VII4739" s="692"/>
      <c r="VIJ4739" s="695"/>
      <c r="VIK4739" s="692"/>
      <c r="VIL4739" s="695"/>
      <c r="VIM4739" s="692"/>
      <c r="VIN4739" s="695"/>
      <c r="VIO4739" s="692"/>
      <c r="VIP4739" s="695"/>
      <c r="VIQ4739" s="692"/>
      <c r="VIR4739" s="695"/>
      <c r="VIS4739" s="692"/>
      <c r="VIT4739" s="695"/>
      <c r="VIU4739" s="692"/>
      <c r="VIV4739" s="695"/>
      <c r="VIW4739" s="692"/>
      <c r="VIX4739" s="695"/>
      <c r="VIY4739" s="692"/>
      <c r="VIZ4739" s="695"/>
      <c r="VJA4739" s="692"/>
      <c r="VJB4739" s="695"/>
      <c r="VJC4739" s="692"/>
      <c r="VJD4739" s="695"/>
      <c r="VJE4739" s="692"/>
      <c r="VJF4739" s="695"/>
      <c r="VJG4739" s="692"/>
      <c r="VJH4739" s="695"/>
      <c r="VJI4739" s="692"/>
      <c r="VJJ4739" s="695"/>
      <c r="VJK4739" s="692"/>
      <c r="VJL4739" s="695"/>
      <c r="VJM4739" s="692"/>
      <c r="VJN4739" s="695"/>
      <c r="VJO4739" s="692"/>
      <c r="VJP4739" s="695"/>
      <c r="VJQ4739" s="692"/>
      <c r="VJR4739" s="695"/>
      <c r="VJS4739" s="692"/>
      <c r="VJT4739" s="695"/>
      <c r="VJU4739" s="692"/>
      <c r="VJV4739" s="695"/>
      <c r="VJW4739" s="692"/>
      <c r="VJX4739" s="695"/>
      <c r="VJY4739" s="692"/>
      <c r="VJZ4739" s="695"/>
      <c r="VKA4739" s="692"/>
      <c r="VKB4739" s="695"/>
      <c r="VKC4739" s="692"/>
      <c r="VKD4739" s="695"/>
      <c r="VKE4739" s="692"/>
      <c r="VKF4739" s="695"/>
      <c r="VKG4739" s="692"/>
      <c r="VKH4739" s="695"/>
      <c r="VKI4739" s="692"/>
      <c r="VKJ4739" s="695"/>
      <c r="VKK4739" s="692"/>
      <c r="VKL4739" s="695"/>
      <c r="VKM4739" s="692"/>
      <c r="VKN4739" s="695"/>
      <c r="VKO4739" s="692"/>
      <c r="VKP4739" s="695"/>
      <c r="VKQ4739" s="692"/>
      <c r="VKR4739" s="695"/>
      <c r="VKS4739" s="692"/>
      <c r="VKT4739" s="695"/>
      <c r="VKU4739" s="692"/>
      <c r="VKV4739" s="695"/>
      <c r="VKW4739" s="692"/>
      <c r="VKX4739" s="695"/>
      <c r="VKY4739" s="692"/>
      <c r="VKZ4739" s="695"/>
      <c r="VLA4739" s="692"/>
      <c r="VLB4739" s="695"/>
      <c r="VLC4739" s="692"/>
      <c r="VLD4739" s="695"/>
      <c r="VLE4739" s="692"/>
      <c r="VLF4739" s="695"/>
      <c r="VLG4739" s="692"/>
      <c r="VLH4739" s="695"/>
      <c r="VLI4739" s="692"/>
      <c r="VLJ4739" s="695"/>
      <c r="VLK4739" s="692"/>
      <c r="VLL4739" s="695"/>
      <c r="VLM4739" s="692"/>
      <c r="VLN4739" s="695"/>
      <c r="VLO4739" s="692"/>
      <c r="VLP4739" s="695"/>
      <c r="VLQ4739" s="692"/>
      <c r="VLR4739" s="695"/>
      <c r="VLS4739" s="692"/>
      <c r="VLT4739" s="695"/>
      <c r="VLU4739" s="692"/>
      <c r="VLV4739" s="695"/>
      <c r="VLW4739" s="692"/>
      <c r="VLX4739" s="695"/>
      <c r="VLY4739" s="692"/>
      <c r="VLZ4739" s="695"/>
      <c r="VMA4739" s="692"/>
      <c r="VMB4739" s="695"/>
      <c r="VMC4739" s="692"/>
      <c r="VMD4739" s="695"/>
      <c r="VME4739" s="692"/>
      <c r="VMF4739" s="695"/>
      <c r="VMG4739" s="692"/>
      <c r="VMH4739" s="695"/>
      <c r="VMI4739" s="692"/>
      <c r="VMJ4739" s="695"/>
      <c r="VMK4739" s="692"/>
      <c r="VML4739" s="695"/>
      <c r="VMM4739" s="692"/>
      <c r="VMN4739" s="695"/>
      <c r="VMO4739" s="692"/>
      <c r="VMP4739" s="695"/>
      <c r="VMQ4739" s="692"/>
      <c r="VMR4739" s="695"/>
      <c r="VMS4739" s="692"/>
      <c r="VMT4739" s="695"/>
      <c r="VMU4739" s="692"/>
      <c r="VMV4739" s="695"/>
      <c r="VMW4739" s="692"/>
      <c r="VMX4739" s="695"/>
      <c r="VMY4739" s="692"/>
      <c r="VMZ4739" s="695"/>
      <c r="VNA4739" s="692"/>
      <c r="VNB4739" s="695"/>
      <c r="VNC4739" s="692"/>
      <c r="VND4739" s="695"/>
      <c r="VNE4739" s="692"/>
      <c r="VNF4739" s="695"/>
      <c r="VNG4739" s="692"/>
      <c r="VNH4739" s="695"/>
      <c r="VNI4739" s="692"/>
      <c r="VNJ4739" s="695"/>
      <c r="VNK4739" s="692"/>
      <c r="VNL4739" s="695"/>
      <c r="VNM4739" s="692"/>
      <c r="VNN4739" s="695"/>
      <c r="VNO4739" s="692"/>
      <c r="VNP4739" s="695"/>
      <c r="VNQ4739" s="692"/>
      <c r="VNR4739" s="695"/>
      <c r="VNS4739" s="692"/>
      <c r="VNT4739" s="695"/>
      <c r="VNU4739" s="692"/>
      <c r="VNV4739" s="695"/>
      <c r="VNW4739" s="692"/>
      <c r="VNX4739" s="695"/>
      <c r="VNY4739" s="692"/>
      <c r="VNZ4739" s="695"/>
      <c r="VOA4739" s="692"/>
      <c r="VOB4739" s="695"/>
      <c r="VOC4739" s="692"/>
      <c r="VOD4739" s="695"/>
      <c r="VOE4739" s="692"/>
      <c r="VOF4739" s="695"/>
      <c r="VOG4739" s="692"/>
      <c r="VOH4739" s="695"/>
      <c r="VOI4739" s="692"/>
      <c r="VOJ4739" s="695"/>
      <c r="VOK4739" s="692"/>
      <c r="VOL4739" s="695"/>
      <c r="VOM4739" s="692"/>
      <c r="VON4739" s="695"/>
      <c r="VOO4739" s="692"/>
      <c r="VOP4739" s="695"/>
      <c r="VOQ4739" s="692"/>
      <c r="VOR4739" s="695"/>
      <c r="VOS4739" s="692"/>
      <c r="VOT4739" s="695"/>
      <c r="VOU4739" s="692"/>
      <c r="VOV4739" s="695"/>
      <c r="VOW4739" s="692"/>
      <c r="VOX4739" s="695"/>
      <c r="VOY4739" s="692"/>
      <c r="VOZ4739" s="695"/>
      <c r="VPA4739" s="692"/>
      <c r="VPB4739" s="695"/>
      <c r="VPC4739" s="692"/>
      <c r="VPD4739" s="695"/>
      <c r="VPE4739" s="692"/>
      <c r="VPF4739" s="695"/>
      <c r="VPG4739" s="692"/>
      <c r="VPH4739" s="695"/>
      <c r="VPI4739" s="692"/>
      <c r="VPJ4739" s="695"/>
      <c r="VPK4739" s="692"/>
      <c r="VPL4739" s="695"/>
      <c r="VPM4739" s="692"/>
      <c r="VPN4739" s="695"/>
      <c r="VPO4739" s="692"/>
      <c r="VPP4739" s="695"/>
      <c r="VPQ4739" s="692"/>
      <c r="VPR4739" s="695"/>
      <c r="VPS4739" s="692"/>
      <c r="VPT4739" s="695"/>
      <c r="VPU4739" s="692"/>
      <c r="VPV4739" s="695"/>
      <c r="VPW4739" s="692"/>
      <c r="VPX4739" s="695"/>
      <c r="VPY4739" s="692"/>
      <c r="VPZ4739" s="695"/>
      <c r="VQA4739" s="692"/>
      <c r="VQB4739" s="695"/>
      <c r="VQC4739" s="692"/>
      <c r="VQD4739" s="695"/>
      <c r="VQE4739" s="692"/>
      <c r="VQF4739" s="695"/>
      <c r="VQG4739" s="692"/>
      <c r="VQH4739" s="695"/>
      <c r="VQI4739" s="692"/>
      <c r="VQJ4739" s="695"/>
      <c r="VQK4739" s="692"/>
      <c r="VQL4739" s="695"/>
      <c r="VQM4739" s="692"/>
      <c r="VQN4739" s="695"/>
      <c r="VQO4739" s="692"/>
      <c r="VQP4739" s="695"/>
      <c r="VQQ4739" s="692"/>
      <c r="VQR4739" s="695"/>
      <c r="VQS4739" s="692"/>
      <c r="VQT4739" s="695"/>
      <c r="VQU4739" s="692"/>
      <c r="VQV4739" s="695"/>
      <c r="VQW4739" s="692"/>
      <c r="VQX4739" s="695"/>
      <c r="VQY4739" s="692"/>
      <c r="VQZ4739" s="695"/>
      <c r="VRA4739" s="692"/>
      <c r="VRB4739" s="695"/>
      <c r="VRC4739" s="692"/>
      <c r="VRD4739" s="695"/>
      <c r="VRE4739" s="692"/>
      <c r="VRF4739" s="695"/>
      <c r="VRG4739" s="692"/>
      <c r="VRH4739" s="695"/>
      <c r="VRI4739" s="692"/>
      <c r="VRJ4739" s="695"/>
      <c r="VRK4739" s="692"/>
      <c r="VRL4739" s="695"/>
      <c r="VRM4739" s="692"/>
      <c r="VRN4739" s="695"/>
      <c r="VRO4739" s="692"/>
      <c r="VRP4739" s="695"/>
      <c r="VRQ4739" s="692"/>
      <c r="VRR4739" s="695"/>
      <c r="VRS4739" s="692"/>
      <c r="VRT4739" s="695"/>
      <c r="VRU4739" s="692"/>
      <c r="VRV4739" s="695"/>
      <c r="VRW4739" s="692"/>
      <c r="VRX4739" s="695"/>
      <c r="VRY4739" s="692"/>
      <c r="VRZ4739" s="695"/>
      <c r="VSA4739" s="692"/>
      <c r="VSB4739" s="695"/>
      <c r="VSC4739" s="692"/>
      <c r="VSD4739" s="695"/>
      <c r="VSE4739" s="692"/>
      <c r="VSF4739" s="695"/>
      <c r="VSG4739" s="692"/>
      <c r="VSH4739" s="695"/>
      <c r="VSI4739" s="692"/>
      <c r="VSJ4739" s="695"/>
      <c r="VSK4739" s="692"/>
      <c r="VSL4739" s="695"/>
      <c r="VSM4739" s="692"/>
      <c r="VSN4739" s="695"/>
      <c r="VSO4739" s="692"/>
      <c r="VSP4739" s="695"/>
      <c r="VSQ4739" s="692"/>
      <c r="VSR4739" s="695"/>
      <c r="VSS4739" s="692"/>
      <c r="VST4739" s="695"/>
      <c r="VSU4739" s="692"/>
      <c r="VSV4739" s="695"/>
      <c r="VSW4739" s="692"/>
      <c r="VSX4739" s="695"/>
      <c r="VSY4739" s="692"/>
      <c r="VSZ4739" s="695"/>
      <c r="VTA4739" s="692"/>
      <c r="VTB4739" s="695"/>
      <c r="VTC4739" s="692"/>
      <c r="VTD4739" s="695"/>
      <c r="VTE4739" s="692"/>
      <c r="VTF4739" s="695"/>
      <c r="VTG4739" s="692"/>
      <c r="VTH4739" s="695"/>
      <c r="VTI4739" s="692"/>
      <c r="VTJ4739" s="695"/>
      <c r="VTK4739" s="692"/>
      <c r="VTL4739" s="695"/>
      <c r="VTM4739" s="692"/>
      <c r="VTN4739" s="695"/>
      <c r="VTO4739" s="692"/>
      <c r="VTP4739" s="695"/>
      <c r="VTQ4739" s="692"/>
      <c r="VTR4739" s="695"/>
      <c r="VTS4739" s="692"/>
      <c r="VTT4739" s="695"/>
      <c r="VTU4739" s="692"/>
    </row>
    <row r="4740" spans="1:15413" s="289" customFormat="1" outlineLevel="2">
      <c r="A4740" s="382"/>
      <c r="B4740" s="382"/>
      <c r="C4740" s="389">
        <v>2210710</v>
      </c>
      <c r="D4740" s="494" t="s">
        <v>38</v>
      </c>
      <c r="E4740" s="675">
        <v>100000</v>
      </c>
      <c r="F4740" s="597">
        <f t="shared" ref="F4740:G4740" si="3780">E4740*1.1</f>
        <v>110000.00000000001</v>
      </c>
      <c r="G4740" s="597">
        <f t="shared" si="3780"/>
        <v>121000.00000000003</v>
      </c>
      <c r="H4740" s="132"/>
    </row>
    <row r="4741" spans="1:15413" s="289" customFormat="1" outlineLevel="2">
      <c r="A4741" s="382"/>
      <c r="B4741" s="382"/>
      <c r="C4741" s="437">
        <v>2210711</v>
      </c>
      <c r="D4741" s="709" t="s">
        <v>332</v>
      </c>
      <c r="E4741" s="675">
        <v>300000</v>
      </c>
      <c r="F4741" s="597">
        <f t="shared" ref="F4741:G4741" si="3781">E4741*1.1</f>
        <v>330000</v>
      </c>
      <c r="G4741" s="597">
        <f t="shared" si="3781"/>
        <v>363000.00000000006</v>
      </c>
      <c r="H4741" s="132"/>
    </row>
    <row r="4742" spans="1:15413" s="289" customFormat="1" outlineLevel="2">
      <c r="A4742" s="382"/>
      <c r="B4742" s="382"/>
      <c r="C4742" s="614">
        <v>2210715</v>
      </c>
      <c r="D4742" s="620" t="s">
        <v>39</v>
      </c>
      <c r="E4742" s="690">
        <v>250000</v>
      </c>
      <c r="F4742" s="597">
        <f t="shared" ref="F4742:G4742" si="3782">E4742*1.1</f>
        <v>275000</v>
      </c>
      <c r="G4742" s="597">
        <f t="shared" si="3782"/>
        <v>302500</v>
      </c>
      <c r="H4742" s="132"/>
    </row>
    <row r="4743" spans="1:15413" s="289" customFormat="1" outlineLevel="2">
      <c r="A4743" s="382"/>
      <c r="B4743" s="382"/>
      <c r="C4743" s="437">
        <v>2210799</v>
      </c>
      <c r="D4743" s="494" t="s">
        <v>1232</v>
      </c>
      <c r="E4743" s="690">
        <v>330000</v>
      </c>
      <c r="F4743" s="597">
        <f t="shared" ref="F4743:G4743" si="3783">E4743*1.1</f>
        <v>363000.00000000006</v>
      </c>
      <c r="G4743" s="597">
        <f t="shared" si="3783"/>
        <v>399300.00000000012</v>
      </c>
      <c r="H4743" s="132"/>
    </row>
    <row r="4744" spans="1:15413" s="289" customFormat="1" outlineLevel="2">
      <c r="A4744" s="382"/>
      <c r="B4744" s="382"/>
      <c r="C4744" s="386">
        <v>2210800</v>
      </c>
      <c r="D4744" s="492" t="s">
        <v>41</v>
      </c>
      <c r="E4744" s="684">
        <f>SUM(E4745:E4746)</f>
        <v>1603006</v>
      </c>
      <c r="F4744" s="597">
        <f t="shared" ref="F4744:G4744" si="3784">E4744*1.1</f>
        <v>1763306.6</v>
      </c>
      <c r="G4744" s="597">
        <f t="shared" si="3784"/>
        <v>1939637.2600000002</v>
      </c>
      <c r="H4744" s="132"/>
    </row>
    <row r="4745" spans="1:15413" s="289" customFormat="1" ht="30" outlineLevel="2">
      <c r="A4745" s="382"/>
      <c r="B4745" s="382"/>
      <c r="C4745" s="389">
        <v>2210801</v>
      </c>
      <c r="D4745" s="494" t="s">
        <v>85</v>
      </c>
      <c r="E4745" s="675">
        <v>625000</v>
      </c>
      <c r="F4745" s="597">
        <f t="shared" ref="F4745:G4745" si="3785">E4745*1.1</f>
        <v>687500</v>
      </c>
      <c r="G4745" s="597">
        <f t="shared" si="3785"/>
        <v>756250.00000000012</v>
      </c>
      <c r="H4745" s="132"/>
    </row>
    <row r="4746" spans="1:15413" s="289" customFormat="1" outlineLevel="2">
      <c r="A4746" s="382"/>
      <c r="B4746" s="382"/>
      <c r="C4746" s="389">
        <v>2210802</v>
      </c>
      <c r="D4746" s="494" t="s">
        <v>86</v>
      </c>
      <c r="E4746" s="319">
        <v>978006</v>
      </c>
      <c r="F4746" s="597">
        <f t="shared" ref="F4746:G4746" si="3786">E4746*1.1</f>
        <v>1075806.6000000001</v>
      </c>
      <c r="G4746" s="597">
        <f t="shared" si="3786"/>
        <v>1183387.2600000002</v>
      </c>
      <c r="H4746" s="132"/>
    </row>
    <row r="4747" spans="1:15413" s="289" customFormat="1" outlineLevel="2">
      <c r="A4747" s="382"/>
      <c r="B4747" s="382"/>
      <c r="C4747" s="386">
        <v>2211100</v>
      </c>
      <c r="D4747" s="492" t="s">
        <v>49</v>
      </c>
      <c r="E4747" s="684">
        <f>E4748</f>
        <v>100000</v>
      </c>
      <c r="F4747" s="597">
        <f t="shared" ref="F4747:G4747" si="3787">E4747*1.1</f>
        <v>110000.00000000001</v>
      </c>
      <c r="G4747" s="597">
        <f t="shared" si="3787"/>
        <v>121000.00000000003</v>
      </c>
      <c r="H4747" s="132"/>
    </row>
    <row r="4748" spans="1:15413" s="289" customFormat="1" outlineLevel="2">
      <c r="A4748" s="382"/>
      <c r="B4748" s="382"/>
      <c r="C4748" s="389">
        <v>2211102</v>
      </c>
      <c r="D4748" s="494" t="s">
        <v>51</v>
      </c>
      <c r="E4748" s="675">
        <v>100000</v>
      </c>
      <c r="F4748" s="597">
        <f t="shared" ref="F4748:G4748" si="3788">E4748*1.1</f>
        <v>110000.00000000001</v>
      </c>
      <c r="G4748" s="597">
        <f t="shared" si="3788"/>
        <v>121000.00000000003</v>
      </c>
      <c r="H4748" s="132"/>
    </row>
    <row r="4749" spans="1:15413" s="289" customFormat="1" outlineLevel="2">
      <c r="A4749" s="382"/>
      <c r="B4749" s="382"/>
      <c r="C4749" s="386">
        <v>2211200</v>
      </c>
      <c r="D4749" s="492" t="s">
        <v>53</v>
      </c>
      <c r="E4749" s="684">
        <f>E4750</f>
        <v>800000</v>
      </c>
      <c r="F4749" s="597">
        <f t="shared" ref="F4749:G4749" si="3789">E4749*1.1</f>
        <v>880000.00000000012</v>
      </c>
      <c r="G4749" s="597">
        <f t="shared" si="3789"/>
        <v>968000.00000000023</v>
      </c>
      <c r="H4749" s="132"/>
    </row>
    <row r="4750" spans="1:15413" s="289" customFormat="1" outlineLevel="2">
      <c r="A4750" s="382"/>
      <c r="B4750" s="382"/>
      <c r="C4750" s="389">
        <v>2211201</v>
      </c>
      <c r="D4750" s="494" t="s">
        <v>91</v>
      </c>
      <c r="E4750" s="675">
        <v>800000</v>
      </c>
      <c r="F4750" s="597">
        <f t="shared" ref="F4750:G4750" si="3790">E4750*1.1</f>
        <v>880000.00000000012</v>
      </c>
      <c r="G4750" s="597">
        <f t="shared" si="3790"/>
        <v>968000.00000000023</v>
      </c>
      <c r="H4750" s="132"/>
    </row>
    <row r="4751" spans="1:15413" s="289" customFormat="1" outlineLevel="2">
      <c r="A4751" s="382"/>
      <c r="B4751" s="382"/>
      <c r="C4751" s="386">
        <v>2211300</v>
      </c>
      <c r="D4751" s="492" t="s">
        <v>55</v>
      </c>
      <c r="E4751" s="684">
        <f>E4752</f>
        <v>87000</v>
      </c>
      <c r="F4751" s="597">
        <f t="shared" ref="F4751:G4751" si="3791">E4751*1.1</f>
        <v>95700.000000000015</v>
      </c>
      <c r="G4751" s="597">
        <f t="shared" si="3791"/>
        <v>105270.00000000003</v>
      </c>
      <c r="H4751" s="132"/>
      <c r="I4751" s="693"/>
      <c r="J4751" s="696"/>
      <c r="K4751" s="693"/>
      <c r="L4751" s="696"/>
      <c r="M4751" s="693"/>
      <c r="N4751" s="696"/>
      <c r="O4751" s="693"/>
      <c r="P4751" s="696"/>
      <c r="Q4751" s="693"/>
      <c r="R4751" s="696"/>
      <c r="S4751" s="693"/>
      <c r="T4751" s="696"/>
      <c r="U4751" s="693"/>
      <c r="V4751" s="696"/>
      <c r="W4751" s="693"/>
      <c r="X4751" s="696"/>
      <c r="Y4751" s="693"/>
      <c r="Z4751" s="696"/>
      <c r="AA4751" s="693"/>
      <c r="AB4751" s="696"/>
      <c r="AC4751" s="693"/>
      <c r="AD4751" s="696"/>
      <c r="AE4751" s="693"/>
      <c r="AF4751" s="696"/>
      <c r="AG4751" s="693"/>
      <c r="AH4751" s="696"/>
      <c r="AI4751" s="693"/>
      <c r="AJ4751" s="696"/>
      <c r="AK4751" s="693"/>
      <c r="AL4751" s="696"/>
      <c r="AM4751" s="693"/>
      <c r="AN4751" s="696"/>
      <c r="AO4751" s="693"/>
      <c r="AP4751" s="696"/>
      <c r="AQ4751" s="693"/>
      <c r="AR4751" s="696"/>
      <c r="AS4751" s="693"/>
      <c r="AT4751" s="696"/>
      <c r="AU4751" s="693"/>
      <c r="AV4751" s="696"/>
      <c r="AW4751" s="693"/>
      <c r="AX4751" s="696"/>
      <c r="AY4751" s="693"/>
      <c r="AZ4751" s="696"/>
      <c r="BA4751" s="693"/>
      <c r="BB4751" s="696"/>
      <c r="BC4751" s="693"/>
      <c r="BD4751" s="696"/>
      <c r="BE4751" s="693"/>
      <c r="BF4751" s="696"/>
      <c r="BG4751" s="693"/>
      <c r="BH4751" s="696"/>
      <c r="BI4751" s="693"/>
      <c r="BJ4751" s="696"/>
      <c r="BK4751" s="693"/>
      <c r="BL4751" s="696"/>
      <c r="BM4751" s="693"/>
      <c r="BN4751" s="696"/>
      <c r="BO4751" s="693"/>
      <c r="BP4751" s="696"/>
      <c r="BQ4751" s="693"/>
      <c r="BR4751" s="696"/>
      <c r="BS4751" s="693"/>
      <c r="BT4751" s="696"/>
      <c r="BU4751" s="693"/>
      <c r="BV4751" s="696"/>
      <c r="BW4751" s="693"/>
      <c r="BX4751" s="696"/>
      <c r="BY4751" s="693"/>
      <c r="BZ4751" s="696"/>
      <c r="CA4751" s="693"/>
      <c r="CB4751" s="696"/>
      <c r="CC4751" s="693"/>
      <c r="CD4751" s="696"/>
      <c r="CE4751" s="693"/>
      <c r="CF4751" s="696"/>
      <c r="CG4751" s="693"/>
      <c r="CH4751" s="696"/>
      <c r="CI4751" s="693"/>
      <c r="CJ4751" s="696"/>
      <c r="CK4751" s="693"/>
      <c r="CL4751" s="696"/>
      <c r="CM4751" s="693"/>
      <c r="CN4751" s="696"/>
      <c r="CO4751" s="693"/>
      <c r="CP4751" s="696"/>
      <c r="CQ4751" s="693"/>
      <c r="CR4751" s="696"/>
      <c r="CS4751" s="693"/>
      <c r="CT4751" s="696"/>
      <c r="CU4751" s="693"/>
      <c r="CV4751" s="696"/>
      <c r="CW4751" s="693"/>
      <c r="CX4751" s="696"/>
      <c r="CY4751" s="693"/>
      <c r="CZ4751" s="696"/>
      <c r="DA4751" s="693"/>
      <c r="DB4751" s="696"/>
      <c r="DC4751" s="693"/>
      <c r="DD4751" s="696"/>
      <c r="DE4751" s="693"/>
      <c r="DF4751" s="696"/>
      <c r="DG4751" s="693"/>
      <c r="DH4751" s="696"/>
      <c r="DI4751" s="693"/>
      <c r="DJ4751" s="696"/>
      <c r="DK4751" s="693"/>
      <c r="DL4751" s="696"/>
      <c r="DM4751" s="693"/>
      <c r="DN4751" s="696"/>
      <c r="DO4751" s="693"/>
      <c r="DP4751" s="696"/>
      <c r="DQ4751" s="693"/>
      <c r="DR4751" s="696"/>
      <c r="DS4751" s="693"/>
      <c r="DT4751" s="696"/>
      <c r="DU4751" s="693"/>
      <c r="DV4751" s="696"/>
      <c r="DW4751" s="693"/>
      <c r="DX4751" s="696"/>
      <c r="DY4751" s="693"/>
      <c r="DZ4751" s="696"/>
      <c r="EA4751" s="693"/>
      <c r="EB4751" s="696"/>
      <c r="EC4751" s="693"/>
      <c r="ED4751" s="696"/>
      <c r="EE4751" s="693"/>
      <c r="EF4751" s="696"/>
      <c r="EG4751" s="693"/>
      <c r="EH4751" s="696"/>
      <c r="EI4751" s="693"/>
      <c r="EJ4751" s="696"/>
      <c r="EK4751" s="693"/>
      <c r="EL4751" s="696"/>
      <c r="EM4751" s="693"/>
      <c r="EN4751" s="696"/>
      <c r="EO4751" s="693"/>
      <c r="EP4751" s="696"/>
      <c r="EQ4751" s="693"/>
      <c r="ER4751" s="696"/>
      <c r="ES4751" s="693"/>
      <c r="ET4751" s="696"/>
      <c r="EU4751" s="693"/>
      <c r="EV4751" s="696"/>
      <c r="EW4751" s="693"/>
      <c r="EX4751" s="696"/>
      <c r="EY4751" s="693"/>
      <c r="EZ4751" s="696"/>
      <c r="FA4751" s="693"/>
      <c r="FB4751" s="696"/>
      <c r="FC4751" s="693"/>
      <c r="FD4751" s="696"/>
      <c r="FE4751" s="693"/>
      <c r="FF4751" s="696"/>
      <c r="FG4751" s="693"/>
      <c r="FH4751" s="696"/>
      <c r="FI4751" s="693"/>
      <c r="FJ4751" s="696"/>
      <c r="FK4751" s="693"/>
      <c r="FL4751" s="696"/>
      <c r="FM4751" s="693"/>
      <c r="FN4751" s="696"/>
      <c r="FO4751" s="693"/>
      <c r="FP4751" s="696"/>
      <c r="FQ4751" s="693"/>
      <c r="FR4751" s="696"/>
      <c r="FS4751" s="693"/>
      <c r="FT4751" s="696"/>
      <c r="FU4751" s="693"/>
      <c r="FV4751" s="696"/>
      <c r="FW4751" s="693"/>
      <c r="FX4751" s="696"/>
      <c r="FY4751" s="693"/>
      <c r="FZ4751" s="696"/>
      <c r="GA4751" s="693"/>
      <c r="GB4751" s="696"/>
      <c r="GC4751" s="693"/>
      <c r="GD4751" s="696"/>
      <c r="GE4751" s="693"/>
      <c r="GF4751" s="696"/>
      <c r="GG4751" s="693"/>
      <c r="GH4751" s="696"/>
      <c r="GI4751" s="693"/>
      <c r="GJ4751" s="696"/>
      <c r="GK4751" s="693"/>
      <c r="GL4751" s="696"/>
      <c r="GM4751" s="693"/>
      <c r="GN4751" s="696"/>
      <c r="GO4751" s="693"/>
      <c r="GP4751" s="696"/>
      <c r="GQ4751" s="693"/>
      <c r="GR4751" s="696"/>
      <c r="GS4751" s="693"/>
      <c r="GT4751" s="696"/>
      <c r="GU4751" s="693"/>
      <c r="GV4751" s="696"/>
      <c r="GW4751" s="693"/>
      <c r="GX4751" s="696"/>
      <c r="GY4751" s="693"/>
      <c r="GZ4751" s="696"/>
      <c r="HA4751" s="693"/>
      <c r="HB4751" s="696"/>
      <c r="HC4751" s="693"/>
      <c r="HD4751" s="696"/>
      <c r="HE4751" s="693"/>
      <c r="HF4751" s="696"/>
      <c r="HG4751" s="693"/>
      <c r="HH4751" s="696"/>
      <c r="HI4751" s="693"/>
      <c r="HJ4751" s="696"/>
      <c r="HK4751" s="693"/>
      <c r="HL4751" s="696"/>
      <c r="HM4751" s="693"/>
      <c r="HN4751" s="696"/>
      <c r="HO4751" s="693"/>
      <c r="HP4751" s="696"/>
      <c r="HQ4751" s="693"/>
      <c r="HR4751" s="696"/>
      <c r="HS4751" s="693"/>
      <c r="HT4751" s="696"/>
      <c r="HU4751" s="693"/>
      <c r="HV4751" s="696"/>
      <c r="HW4751" s="693"/>
      <c r="HX4751" s="696"/>
      <c r="HY4751" s="693"/>
      <c r="HZ4751" s="696"/>
      <c r="IA4751" s="693"/>
      <c r="IB4751" s="696"/>
      <c r="IC4751" s="693"/>
      <c r="ID4751" s="696"/>
      <c r="IE4751" s="693"/>
      <c r="IF4751" s="696"/>
      <c r="IG4751" s="693"/>
      <c r="IH4751" s="696"/>
      <c r="II4751" s="693"/>
      <c r="IJ4751" s="696"/>
      <c r="IK4751" s="693"/>
      <c r="IL4751" s="696"/>
      <c r="IM4751" s="693"/>
      <c r="IN4751" s="696"/>
      <c r="IO4751" s="693"/>
      <c r="IP4751" s="696"/>
      <c r="IQ4751" s="693"/>
      <c r="IR4751" s="696"/>
      <c r="IS4751" s="693"/>
      <c r="IT4751" s="696"/>
      <c r="IU4751" s="693"/>
      <c r="IV4751" s="696"/>
      <c r="IW4751" s="693"/>
      <c r="IX4751" s="696"/>
      <c r="IY4751" s="693"/>
      <c r="IZ4751" s="696"/>
      <c r="JA4751" s="693"/>
      <c r="JB4751" s="696"/>
      <c r="JC4751" s="693"/>
      <c r="JD4751" s="696"/>
      <c r="JE4751" s="693"/>
      <c r="JF4751" s="696"/>
      <c r="JG4751" s="693"/>
      <c r="JH4751" s="696"/>
      <c r="JI4751" s="693"/>
      <c r="JJ4751" s="696"/>
      <c r="JK4751" s="693"/>
      <c r="JL4751" s="696"/>
      <c r="JM4751" s="693"/>
      <c r="JN4751" s="696"/>
      <c r="JO4751" s="693"/>
      <c r="JP4751" s="696"/>
      <c r="JQ4751" s="693"/>
      <c r="JR4751" s="696"/>
      <c r="JS4751" s="693"/>
      <c r="JT4751" s="696"/>
      <c r="JU4751" s="693"/>
      <c r="JV4751" s="696"/>
      <c r="JW4751" s="693"/>
      <c r="JX4751" s="696"/>
      <c r="JY4751" s="693"/>
      <c r="JZ4751" s="696"/>
      <c r="KA4751" s="693"/>
      <c r="KB4751" s="696"/>
      <c r="KC4751" s="693"/>
      <c r="KD4751" s="696"/>
      <c r="KE4751" s="693"/>
      <c r="KF4751" s="696"/>
      <c r="KG4751" s="693"/>
      <c r="KH4751" s="696"/>
      <c r="KI4751" s="693"/>
      <c r="KJ4751" s="696"/>
      <c r="KK4751" s="693"/>
      <c r="KL4751" s="696"/>
      <c r="KM4751" s="693"/>
      <c r="KN4751" s="696"/>
      <c r="KO4751" s="693"/>
      <c r="KP4751" s="696"/>
      <c r="KQ4751" s="693"/>
      <c r="KR4751" s="696"/>
      <c r="KS4751" s="693"/>
      <c r="KT4751" s="696"/>
      <c r="KU4751" s="693"/>
      <c r="KV4751" s="696"/>
      <c r="KW4751" s="693"/>
      <c r="KX4751" s="696"/>
      <c r="KY4751" s="693"/>
      <c r="KZ4751" s="696"/>
      <c r="LA4751" s="693"/>
      <c r="LB4751" s="696"/>
      <c r="LC4751" s="693"/>
      <c r="LD4751" s="696"/>
      <c r="LE4751" s="693"/>
      <c r="LF4751" s="696"/>
      <c r="LG4751" s="693"/>
      <c r="LH4751" s="696"/>
      <c r="LI4751" s="693"/>
      <c r="LJ4751" s="696"/>
      <c r="LK4751" s="693"/>
      <c r="LL4751" s="696"/>
      <c r="LM4751" s="693"/>
      <c r="LN4751" s="696"/>
      <c r="LO4751" s="693"/>
      <c r="LP4751" s="696"/>
      <c r="LQ4751" s="693"/>
      <c r="LR4751" s="696"/>
      <c r="LS4751" s="693"/>
      <c r="LT4751" s="696"/>
      <c r="LU4751" s="693"/>
      <c r="LV4751" s="696"/>
      <c r="LW4751" s="693"/>
      <c r="LX4751" s="696"/>
      <c r="LY4751" s="693"/>
      <c r="LZ4751" s="696"/>
      <c r="MA4751" s="693"/>
      <c r="MB4751" s="696"/>
      <c r="MC4751" s="693"/>
      <c r="MD4751" s="696"/>
      <c r="ME4751" s="693"/>
      <c r="MF4751" s="696"/>
      <c r="MG4751" s="693"/>
      <c r="MH4751" s="696"/>
      <c r="MI4751" s="693"/>
      <c r="MJ4751" s="696"/>
      <c r="MK4751" s="693"/>
      <c r="ML4751" s="696"/>
      <c r="MM4751" s="693"/>
      <c r="MN4751" s="696"/>
      <c r="MO4751" s="693"/>
      <c r="MP4751" s="696"/>
      <c r="MQ4751" s="693"/>
      <c r="MR4751" s="696"/>
      <c r="MS4751" s="693"/>
      <c r="MT4751" s="696"/>
      <c r="MU4751" s="693"/>
      <c r="MV4751" s="696"/>
      <c r="MW4751" s="693"/>
      <c r="MX4751" s="696"/>
      <c r="MY4751" s="693"/>
      <c r="MZ4751" s="696"/>
      <c r="NA4751" s="693"/>
      <c r="NB4751" s="696"/>
      <c r="NC4751" s="693"/>
      <c r="ND4751" s="696"/>
      <c r="NE4751" s="693"/>
      <c r="NF4751" s="696"/>
      <c r="NG4751" s="693"/>
      <c r="NH4751" s="696"/>
      <c r="NI4751" s="693"/>
      <c r="NJ4751" s="696"/>
      <c r="NK4751" s="693"/>
      <c r="NL4751" s="696"/>
      <c r="NM4751" s="693"/>
      <c r="NN4751" s="696"/>
      <c r="NO4751" s="693"/>
      <c r="NP4751" s="696"/>
      <c r="NQ4751" s="693"/>
      <c r="NR4751" s="696"/>
      <c r="NS4751" s="693"/>
      <c r="NT4751" s="696"/>
      <c r="NU4751" s="693"/>
      <c r="NV4751" s="696"/>
      <c r="NW4751" s="693"/>
      <c r="NX4751" s="696"/>
      <c r="NY4751" s="693"/>
      <c r="NZ4751" s="696"/>
      <c r="OA4751" s="693"/>
      <c r="OB4751" s="696"/>
      <c r="OC4751" s="693"/>
      <c r="OD4751" s="696"/>
      <c r="OE4751" s="693"/>
      <c r="OF4751" s="696"/>
      <c r="OG4751" s="693"/>
      <c r="OH4751" s="696"/>
      <c r="OI4751" s="693"/>
      <c r="OJ4751" s="696"/>
      <c r="OK4751" s="693"/>
      <c r="OL4751" s="696"/>
      <c r="OM4751" s="693"/>
      <c r="ON4751" s="696"/>
      <c r="OO4751" s="693"/>
      <c r="OP4751" s="696"/>
      <c r="OQ4751" s="693"/>
      <c r="OR4751" s="696"/>
      <c r="OS4751" s="693"/>
      <c r="OT4751" s="696"/>
      <c r="OU4751" s="693"/>
      <c r="OV4751" s="696"/>
      <c r="OW4751" s="693"/>
      <c r="OX4751" s="696"/>
      <c r="OY4751" s="693"/>
      <c r="OZ4751" s="696"/>
      <c r="PA4751" s="693"/>
      <c r="PB4751" s="696"/>
      <c r="PC4751" s="693"/>
      <c r="PD4751" s="696"/>
      <c r="PE4751" s="693"/>
      <c r="PF4751" s="696"/>
      <c r="PG4751" s="693"/>
      <c r="PH4751" s="696"/>
      <c r="PI4751" s="693"/>
      <c r="PJ4751" s="696"/>
      <c r="PK4751" s="693"/>
      <c r="PL4751" s="696"/>
      <c r="PM4751" s="693"/>
      <c r="PN4751" s="696"/>
      <c r="PO4751" s="693"/>
      <c r="PP4751" s="696"/>
      <c r="PQ4751" s="693"/>
      <c r="PR4751" s="696"/>
      <c r="PS4751" s="693"/>
      <c r="PT4751" s="696"/>
      <c r="PU4751" s="693"/>
      <c r="PV4751" s="696"/>
      <c r="PW4751" s="693"/>
      <c r="PX4751" s="696"/>
      <c r="PY4751" s="693"/>
      <c r="PZ4751" s="696"/>
      <c r="QA4751" s="693"/>
      <c r="QB4751" s="696"/>
      <c r="QC4751" s="693"/>
      <c r="QD4751" s="696"/>
      <c r="QE4751" s="693"/>
      <c r="QF4751" s="696"/>
      <c r="QG4751" s="693"/>
      <c r="QH4751" s="696"/>
      <c r="QI4751" s="693"/>
      <c r="QJ4751" s="696"/>
      <c r="QK4751" s="693"/>
      <c r="QL4751" s="696"/>
      <c r="QM4751" s="693"/>
      <c r="QN4751" s="696"/>
      <c r="QO4751" s="693"/>
      <c r="QP4751" s="696"/>
      <c r="QQ4751" s="693"/>
      <c r="QR4751" s="696"/>
      <c r="QS4751" s="693"/>
      <c r="QT4751" s="696"/>
      <c r="QU4751" s="693"/>
      <c r="QV4751" s="696"/>
      <c r="QW4751" s="693"/>
      <c r="QX4751" s="696"/>
      <c r="QY4751" s="693"/>
      <c r="QZ4751" s="696"/>
      <c r="RA4751" s="693"/>
      <c r="RB4751" s="696"/>
      <c r="RC4751" s="693"/>
      <c r="RD4751" s="696"/>
      <c r="RE4751" s="693"/>
      <c r="RF4751" s="696"/>
      <c r="RG4751" s="693"/>
      <c r="RH4751" s="696"/>
      <c r="RI4751" s="693"/>
      <c r="RJ4751" s="696"/>
      <c r="RK4751" s="693"/>
      <c r="RL4751" s="696"/>
      <c r="RM4751" s="693"/>
      <c r="RN4751" s="696"/>
      <c r="RO4751" s="693"/>
      <c r="RP4751" s="696"/>
      <c r="RQ4751" s="693"/>
      <c r="RR4751" s="696"/>
      <c r="RS4751" s="693"/>
      <c r="RT4751" s="696"/>
      <c r="RU4751" s="693"/>
      <c r="RV4751" s="696"/>
      <c r="RW4751" s="693"/>
      <c r="RX4751" s="696"/>
      <c r="RY4751" s="693"/>
      <c r="RZ4751" s="696"/>
      <c r="SA4751" s="693"/>
      <c r="SB4751" s="696"/>
      <c r="SC4751" s="693"/>
      <c r="SD4751" s="696"/>
      <c r="SE4751" s="693"/>
      <c r="SF4751" s="696"/>
      <c r="SG4751" s="693"/>
      <c r="SH4751" s="696"/>
      <c r="SI4751" s="693"/>
      <c r="SJ4751" s="696"/>
      <c r="SK4751" s="693"/>
      <c r="SL4751" s="696"/>
      <c r="SM4751" s="693"/>
      <c r="SN4751" s="696"/>
      <c r="SO4751" s="693"/>
      <c r="SP4751" s="696"/>
      <c r="SQ4751" s="693"/>
      <c r="SR4751" s="696"/>
      <c r="SS4751" s="693"/>
      <c r="ST4751" s="696"/>
      <c r="SU4751" s="693"/>
      <c r="SV4751" s="696"/>
      <c r="SW4751" s="693"/>
      <c r="SX4751" s="696"/>
      <c r="SY4751" s="693"/>
      <c r="SZ4751" s="696"/>
      <c r="TA4751" s="693"/>
      <c r="TB4751" s="696"/>
      <c r="TC4751" s="693"/>
      <c r="TD4751" s="696"/>
      <c r="TE4751" s="693"/>
      <c r="TF4751" s="696"/>
      <c r="TG4751" s="693"/>
      <c r="TH4751" s="696"/>
      <c r="TI4751" s="693"/>
      <c r="TJ4751" s="696"/>
      <c r="TK4751" s="693"/>
      <c r="TL4751" s="696"/>
      <c r="TM4751" s="693"/>
      <c r="TN4751" s="696"/>
      <c r="TO4751" s="693"/>
      <c r="TP4751" s="696"/>
      <c r="TQ4751" s="693"/>
      <c r="TR4751" s="696"/>
      <c r="TS4751" s="693"/>
      <c r="TT4751" s="696"/>
      <c r="TU4751" s="693"/>
      <c r="TV4751" s="696"/>
      <c r="TW4751" s="693"/>
      <c r="TX4751" s="696"/>
      <c r="TY4751" s="693"/>
      <c r="TZ4751" s="696"/>
      <c r="UA4751" s="693"/>
      <c r="UB4751" s="696"/>
      <c r="UC4751" s="693"/>
      <c r="UD4751" s="696"/>
      <c r="UE4751" s="693"/>
      <c r="UF4751" s="696"/>
      <c r="UG4751" s="693"/>
      <c r="UH4751" s="696"/>
      <c r="UI4751" s="693"/>
      <c r="UJ4751" s="696"/>
      <c r="UK4751" s="693"/>
      <c r="UL4751" s="696"/>
      <c r="UM4751" s="693"/>
      <c r="UN4751" s="696"/>
      <c r="UO4751" s="693"/>
      <c r="UP4751" s="696"/>
      <c r="UQ4751" s="693"/>
      <c r="UR4751" s="696"/>
      <c r="US4751" s="693"/>
      <c r="UT4751" s="696"/>
      <c r="UU4751" s="693"/>
      <c r="UV4751" s="696"/>
      <c r="UW4751" s="693"/>
      <c r="UX4751" s="696"/>
      <c r="UY4751" s="693"/>
      <c r="UZ4751" s="696"/>
      <c r="VA4751" s="693"/>
      <c r="VB4751" s="696"/>
      <c r="VC4751" s="693"/>
      <c r="VD4751" s="696"/>
      <c r="VE4751" s="693"/>
      <c r="VF4751" s="696"/>
      <c r="VG4751" s="693"/>
      <c r="VH4751" s="696"/>
      <c r="VI4751" s="693"/>
      <c r="VJ4751" s="696"/>
      <c r="VK4751" s="693"/>
      <c r="VL4751" s="696"/>
      <c r="VM4751" s="693"/>
      <c r="VN4751" s="696"/>
      <c r="VO4751" s="693"/>
      <c r="VP4751" s="696"/>
      <c r="VQ4751" s="693"/>
      <c r="VR4751" s="696"/>
      <c r="VS4751" s="693"/>
      <c r="VT4751" s="696"/>
      <c r="VU4751" s="693"/>
      <c r="VV4751" s="696"/>
      <c r="VW4751" s="693"/>
      <c r="VX4751" s="696"/>
      <c r="VY4751" s="693"/>
      <c r="VZ4751" s="696"/>
      <c r="WA4751" s="693"/>
      <c r="WB4751" s="696"/>
      <c r="WC4751" s="693"/>
      <c r="WD4751" s="696"/>
      <c r="WE4751" s="693"/>
      <c r="WF4751" s="696"/>
      <c r="WG4751" s="693"/>
      <c r="WH4751" s="696"/>
      <c r="WI4751" s="693"/>
      <c r="WJ4751" s="696"/>
      <c r="WK4751" s="693"/>
      <c r="WL4751" s="696"/>
      <c r="WM4751" s="693"/>
      <c r="WN4751" s="696"/>
      <c r="WO4751" s="693"/>
      <c r="WP4751" s="696"/>
      <c r="WQ4751" s="693"/>
      <c r="WR4751" s="696"/>
      <c r="WS4751" s="693"/>
      <c r="WT4751" s="696"/>
      <c r="WU4751" s="693"/>
      <c r="WV4751" s="696"/>
      <c r="WW4751" s="693"/>
      <c r="WX4751" s="696"/>
      <c r="WY4751" s="693"/>
      <c r="WZ4751" s="696"/>
      <c r="XA4751" s="693"/>
      <c r="XB4751" s="696"/>
      <c r="XC4751" s="693"/>
      <c r="XD4751" s="696"/>
      <c r="XE4751" s="693"/>
      <c r="XF4751" s="696"/>
      <c r="XG4751" s="693"/>
      <c r="XH4751" s="696"/>
      <c r="XI4751" s="693"/>
      <c r="XJ4751" s="696"/>
      <c r="XK4751" s="693"/>
      <c r="XL4751" s="696"/>
      <c r="XM4751" s="693"/>
      <c r="XN4751" s="696"/>
      <c r="XO4751" s="693"/>
      <c r="XP4751" s="696"/>
      <c r="XQ4751" s="693"/>
      <c r="XR4751" s="696"/>
      <c r="XS4751" s="693"/>
      <c r="XT4751" s="696"/>
      <c r="XU4751" s="693"/>
      <c r="XV4751" s="696"/>
      <c r="XW4751" s="693"/>
      <c r="XX4751" s="696"/>
      <c r="XY4751" s="693"/>
      <c r="XZ4751" s="696"/>
      <c r="YA4751" s="693"/>
      <c r="YB4751" s="696"/>
      <c r="YC4751" s="693"/>
      <c r="YD4751" s="696"/>
      <c r="YE4751" s="693"/>
      <c r="YF4751" s="696"/>
      <c r="YG4751" s="693"/>
      <c r="YH4751" s="696"/>
      <c r="YI4751" s="693"/>
      <c r="YJ4751" s="696"/>
      <c r="YK4751" s="693"/>
      <c r="YL4751" s="696"/>
      <c r="YM4751" s="693"/>
      <c r="YN4751" s="696"/>
      <c r="YO4751" s="693"/>
      <c r="YP4751" s="696"/>
      <c r="YQ4751" s="693"/>
      <c r="YR4751" s="696"/>
      <c r="YS4751" s="693"/>
      <c r="YT4751" s="696"/>
      <c r="YU4751" s="693"/>
      <c r="YV4751" s="696"/>
      <c r="YW4751" s="693"/>
      <c r="YX4751" s="696"/>
      <c r="YY4751" s="693"/>
      <c r="YZ4751" s="696"/>
      <c r="ZA4751" s="693"/>
      <c r="ZB4751" s="696"/>
      <c r="ZC4751" s="693"/>
      <c r="ZD4751" s="696"/>
      <c r="ZE4751" s="693"/>
      <c r="ZF4751" s="696"/>
      <c r="ZG4751" s="693"/>
      <c r="ZH4751" s="696"/>
      <c r="ZI4751" s="693"/>
      <c r="ZJ4751" s="696"/>
      <c r="ZK4751" s="693"/>
      <c r="ZL4751" s="696"/>
      <c r="ZM4751" s="693"/>
      <c r="ZN4751" s="696"/>
      <c r="ZO4751" s="693"/>
      <c r="ZP4751" s="696"/>
      <c r="ZQ4751" s="693"/>
      <c r="ZR4751" s="696"/>
      <c r="ZS4751" s="693"/>
      <c r="ZT4751" s="696"/>
      <c r="ZU4751" s="693"/>
      <c r="ZV4751" s="696"/>
      <c r="ZW4751" s="693"/>
      <c r="ZX4751" s="696"/>
      <c r="ZY4751" s="693"/>
      <c r="ZZ4751" s="696"/>
      <c r="AAA4751" s="693"/>
      <c r="AAB4751" s="696"/>
      <c r="AAC4751" s="693"/>
      <c r="AAD4751" s="696"/>
      <c r="AAE4751" s="693"/>
      <c r="AAF4751" s="696"/>
      <c r="AAG4751" s="693"/>
      <c r="AAH4751" s="696"/>
      <c r="AAI4751" s="693"/>
      <c r="AAJ4751" s="696"/>
      <c r="AAK4751" s="693"/>
      <c r="AAL4751" s="696"/>
      <c r="AAM4751" s="693"/>
      <c r="AAN4751" s="696"/>
      <c r="AAO4751" s="693"/>
      <c r="AAP4751" s="696"/>
      <c r="AAQ4751" s="693"/>
      <c r="AAR4751" s="696"/>
      <c r="AAS4751" s="693"/>
      <c r="AAT4751" s="696"/>
      <c r="AAU4751" s="693"/>
      <c r="AAV4751" s="696"/>
      <c r="AAW4751" s="693"/>
      <c r="AAX4751" s="696"/>
      <c r="AAY4751" s="693"/>
      <c r="AAZ4751" s="696"/>
      <c r="ABA4751" s="693"/>
      <c r="ABB4751" s="696"/>
      <c r="ABC4751" s="693"/>
      <c r="ABD4751" s="696"/>
      <c r="ABE4751" s="693"/>
      <c r="ABF4751" s="696"/>
      <c r="ABG4751" s="693"/>
      <c r="ABH4751" s="696"/>
      <c r="ABI4751" s="693"/>
      <c r="ABJ4751" s="696"/>
      <c r="ABK4751" s="693"/>
      <c r="ABL4751" s="696"/>
      <c r="ABM4751" s="693"/>
      <c r="ABN4751" s="696"/>
      <c r="ABO4751" s="693"/>
      <c r="ABP4751" s="696"/>
      <c r="ABQ4751" s="693"/>
      <c r="ABR4751" s="696"/>
      <c r="ABS4751" s="693"/>
      <c r="ABT4751" s="696"/>
      <c r="ABU4751" s="693"/>
      <c r="ABV4751" s="696"/>
      <c r="ABW4751" s="693"/>
      <c r="ABX4751" s="696"/>
      <c r="ABY4751" s="693"/>
      <c r="ABZ4751" s="696"/>
      <c r="ACA4751" s="693"/>
      <c r="ACB4751" s="696"/>
      <c r="ACC4751" s="693"/>
      <c r="ACD4751" s="696"/>
      <c r="ACE4751" s="693"/>
      <c r="ACF4751" s="696"/>
      <c r="ACG4751" s="693"/>
      <c r="ACH4751" s="696"/>
      <c r="ACI4751" s="693"/>
      <c r="ACJ4751" s="696"/>
      <c r="ACK4751" s="693"/>
      <c r="ACL4751" s="696"/>
      <c r="ACM4751" s="693"/>
      <c r="ACN4751" s="696"/>
      <c r="ACO4751" s="693"/>
      <c r="ACP4751" s="696"/>
      <c r="ACQ4751" s="693"/>
      <c r="ACR4751" s="696"/>
      <c r="ACS4751" s="693"/>
      <c r="ACT4751" s="696"/>
      <c r="ACU4751" s="693"/>
      <c r="ACV4751" s="696"/>
      <c r="ACW4751" s="693"/>
      <c r="ACX4751" s="696"/>
      <c r="ACY4751" s="693"/>
      <c r="ACZ4751" s="696"/>
      <c r="ADA4751" s="693"/>
      <c r="ADB4751" s="696"/>
      <c r="ADC4751" s="693"/>
      <c r="ADD4751" s="696"/>
      <c r="ADE4751" s="693"/>
      <c r="ADF4751" s="696"/>
      <c r="ADG4751" s="693"/>
      <c r="ADH4751" s="696"/>
      <c r="ADI4751" s="693"/>
      <c r="ADJ4751" s="696"/>
      <c r="ADK4751" s="693"/>
      <c r="ADL4751" s="696"/>
      <c r="ADM4751" s="693"/>
      <c r="ADN4751" s="696"/>
      <c r="ADO4751" s="693"/>
      <c r="ADP4751" s="696"/>
      <c r="ADQ4751" s="693"/>
      <c r="ADR4751" s="696"/>
      <c r="ADS4751" s="693"/>
      <c r="ADT4751" s="696"/>
      <c r="ADU4751" s="693"/>
      <c r="ADV4751" s="696"/>
      <c r="ADW4751" s="693"/>
      <c r="ADX4751" s="696"/>
      <c r="ADY4751" s="693"/>
      <c r="ADZ4751" s="696"/>
      <c r="AEA4751" s="693"/>
      <c r="AEB4751" s="696"/>
      <c r="AEC4751" s="693"/>
      <c r="AED4751" s="696"/>
      <c r="AEE4751" s="693"/>
      <c r="AEF4751" s="696"/>
      <c r="AEG4751" s="693"/>
      <c r="AEH4751" s="696"/>
      <c r="AEI4751" s="693"/>
      <c r="AEJ4751" s="696"/>
      <c r="AEK4751" s="693"/>
      <c r="AEL4751" s="696"/>
      <c r="AEM4751" s="693"/>
      <c r="AEN4751" s="696"/>
      <c r="AEO4751" s="693"/>
      <c r="AEP4751" s="696"/>
      <c r="AEQ4751" s="693"/>
      <c r="AER4751" s="696"/>
      <c r="AES4751" s="693"/>
      <c r="AET4751" s="696"/>
      <c r="AEU4751" s="693"/>
      <c r="AEV4751" s="696"/>
      <c r="AEW4751" s="693"/>
      <c r="AEX4751" s="696"/>
      <c r="AEY4751" s="693"/>
      <c r="AEZ4751" s="696"/>
      <c r="AFA4751" s="693"/>
      <c r="AFB4751" s="696"/>
      <c r="AFC4751" s="693"/>
      <c r="AFD4751" s="696"/>
      <c r="AFE4751" s="693"/>
      <c r="AFF4751" s="696"/>
      <c r="AFG4751" s="693"/>
      <c r="AFH4751" s="696"/>
      <c r="AFI4751" s="693"/>
      <c r="AFJ4751" s="696"/>
      <c r="AFK4751" s="693"/>
      <c r="AFL4751" s="696"/>
      <c r="AFM4751" s="693"/>
      <c r="AFN4751" s="696"/>
      <c r="AFO4751" s="693"/>
      <c r="AFP4751" s="696"/>
      <c r="AFQ4751" s="693"/>
      <c r="AFR4751" s="696"/>
      <c r="AFS4751" s="693"/>
      <c r="AFT4751" s="696"/>
      <c r="AFU4751" s="693"/>
      <c r="AFV4751" s="696"/>
      <c r="AFW4751" s="693"/>
      <c r="AFX4751" s="696"/>
      <c r="AFY4751" s="693"/>
      <c r="AFZ4751" s="696"/>
      <c r="AGA4751" s="693"/>
      <c r="AGB4751" s="696"/>
      <c r="AGC4751" s="693"/>
      <c r="AGD4751" s="696"/>
      <c r="AGE4751" s="693"/>
      <c r="AGF4751" s="696"/>
      <c r="AGG4751" s="693"/>
      <c r="AGH4751" s="696"/>
      <c r="AGI4751" s="693"/>
      <c r="AGJ4751" s="696"/>
      <c r="AGK4751" s="693"/>
      <c r="AGL4751" s="696"/>
      <c r="AGM4751" s="693"/>
      <c r="AGN4751" s="696"/>
      <c r="AGO4751" s="693"/>
      <c r="AGP4751" s="696"/>
      <c r="AGQ4751" s="693"/>
      <c r="AGR4751" s="696"/>
      <c r="AGS4751" s="693"/>
      <c r="AGT4751" s="696"/>
      <c r="AGU4751" s="693"/>
      <c r="AGV4751" s="696"/>
      <c r="AGW4751" s="693"/>
      <c r="AGX4751" s="696"/>
      <c r="AGY4751" s="693"/>
      <c r="AGZ4751" s="696"/>
      <c r="AHA4751" s="693"/>
      <c r="AHB4751" s="696"/>
      <c r="AHC4751" s="693"/>
      <c r="AHD4751" s="696"/>
      <c r="AHE4751" s="693"/>
      <c r="AHF4751" s="696"/>
      <c r="AHG4751" s="693"/>
      <c r="AHH4751" s="696"/>
      <c r="AHI4751" s="693"/>
      <c r="AHJ4751" s="696"/>
      <c r="AHK4751" s="693"/>
      <c r="AHL4751" s="696"/>
      <c r="AHM4751" s="693"/>
      <c r="AHN4751" s="696"/>
      <c r="AHO4751" s="693"/>
      <c r="AHP4751" s="696"/>
      <c r="AHQ4751" s="693"/>
      <c r="AHR4751" s="696"/>
      <c r="AHS4751" s="693"/>
      <c r="AHT4751" s="696"/>
      <c r="AHU4751" s="693"/>
      <c r="AHV4751" s="696"/>
      <c r="AHW4751" s="693"/>
      <c r="AHX4751" s="696"/>
      <c r="AHY4751" s="693"/>
      <c r="AHZ4751" s="696"/>
      <c r="AIA4751" s="693"/>
      <c r="AIB4751" s="696"/>
      <c r="AIC4751" s="693"/>
      <c r="AID4751" s="696"/>
      <c r="AIE4751" s="693"/>
      <c r="AIF4751" s="696"/>
      <c r="AIG4751" s="693"/>
      <c r="AIH4751" s="696"/>
      <c r="AII4751" s="693"/>
      <c r="AIJ4751" s="696"/>
      <c r="AIK4751" s="693"/>
      <c r="AIL4751" s="696"/>
      <c r="AIM4751" s="693"/>
      <c r="AIN4751" s="696"/>
      <c r="AIO4751" s="693"/>
      <c r="AIP4751" s="696"/>
      <c r="AIQ4751" s="693"/>
      <c r="AIR4751" s="696"/>
      <c r="AIS4751" s="693"/>
      <c r="AIT4751" s="696"/>
      <c r="AIU4751" s="693"/>
      <c r="AIV4751" s="696"/>
      <c r="AIW4751" s="693"/>
      <c r="AIX4751" s="696"/>
      <c r="AIY4751" s="693"/>
      <c r="AIZ4751" s="696"/>
      <c r="AJA4751" s="693"/>
      <c r="AJB4751" s="696"/>
      <c r="AJC4751" s="693"/>
      <c r="AJD4751" s="696"/>
      <c r="AJE4751" s="693"/>
      <c r="AJF4751" s="696"/>
      <c r="AJG4751" s="693"/>
      <c r="AJH4751" s="696"/>
      <c r="AJI4751" s="693"/>
      <c r="AJJ4751" s="696"/>
      <c r="AJK4751" s="693"/>
      <c r="AJL4751" s="696"/>
      <c r="AJM4751" s="693"/>
      <c r="AJN4751" s="696"/>
      <c r="AJO4751" s="693"/>
      <c r="AJP4751" s="696"/>
      <c r="AJQ4751" s="693"/>
      <c r="AJR4751" s="696"/>
      <c r="AJS4751" s="693"/>
      <c r="AJT4751" s="696"/>
      <c r="AJU4751" s="693"/>
      <c r="AJV4751" s="696"/>
      <c r="AJW4751" s="693"/>
      <c r="AJX4751" s="696"/>
      <c r="AJY4751" s="693"/>
      <c r="AJZ4751" s="696"/>
      <c r="AKA4751" s="693"/>
      <c r="AKB4751" s="696"/>
      <c r="AKC4751" s="693"/>
      <c r="AKD4751" s="696"/>
      <c r="AKE4751" s="693"/>
      <c r="AKF4751" s="696"/>
      <c r="AKG4751" s="693"/>
      <c r="AKH4751" s="696"/>
      <c r="AKI4751" s="693"/>
      <c r="AKJ4751" s="696"/>
      <c r="AKK4751" s="693"/>
      <c r="AKL4751" s="696"/>
      <c r="AKM4751" s="693"/>
      <c r="AKN4751" s="696"/>
      <c r="AKO4751" s="693"/>
      <c r="AKP4751" s="696"/>
      <c r="AKQ4751" s="693"/>
      <c r="AKR4751" s="696"/>
      <c r="AKS4751" s="693"/>
      <c r="AKT4751" s="696"/>
      <c r="AKU4751" s="693"/>
      <c r="AKV4751" s="696"/>
      <c r="AKW4751" s="693"/>
      <c r="AKX4751" s="696"/>
      <c r="AKY4751" s="693"/>
      <c r="AKZ4751" s="696"/>
      <c r="ALA4751" s="693"/>
      <c r="ALB4751" s="696"/>
      <c r="ALC4751" s="693"/>
      <c r="ALD4751" s="696"/>
      <c r="ALE4751" s="693"/>
      <c r="ALF4751" s="696"/>
      <c r="ALG4751" s="693"/>
      <c r="ALH4751" s="696"/>
      <c r="ALI4751" s="693"/>
      <c r="ALJ4751" s="696"/>
      <c r="ALK4751" s="693"/>
      <c r="ALL4751" s="696"/>
      <c r="ALM4751" s="693"/>
      <c r="ALN4751" s="696"/>
      <c r="ALO4751" s="693"/>
      <c r="ALP4751" s="696"/>
      <c r="ALQ4751" s="693"/>
      <c r="ALR4751" s="696"/>
      <c r="ALS4751" s="693"/>
      <c r="ALT4751" s="696"/>
      <c r="ALU4751" s="693"/>
      <c r="ALV4751" s="696"/>
      <c r="ALW4751" s="693"/>
      <c r="ALX4751" s="696"/>
      <c r="ALY4751" s="693"/>
      <c r="ALZ4751" s="696"/>
      <c r="AMA4751" s="693"/>
      <c r="AMB4751" s="696"/>
      <c r="AMC4751" s="693"/>
      <c r="AMD4751" s="696"/>
      <c r="AME4751" s="693"/>
      <c r="AMF4751" s="696"/>
      <c r="AMG4751" s="693"/>
      <c r="AMH4751" s="696"/>
      <c r="AMI4751" s="693"/>
      <c r="AMJ4751" s="696"/>
      <c r="AMK4751" s="693"/>
      <c r="AML4751" s="696"/>
      <c r="AMM4751" s="693"/>
      <c r="AMN4751" s="696"/>
      <c r="AMO4751" s="693"/>
      <c r="AMP4751" s="696"/>
      <c r="AMQ4751" s="693"/>
      <c r="AMR4751" s="696"/>
      <c r="AMS4751" s="693"/>
      <c r="AMT4751" s="696"/>
      <c r="AMU4751" s="693"/>
      <c r="AMV4751" s="696"/>
      <c r="AMW4751" s="693"/>
      <c r="AMX4751" s="696"/>
      <c r="AMY4751" s="693"/>
      <c r="AMZ4751" s="696"/>
      <c r="ANA4751" s="693"/>
      <c r="ANB4751" s="696"/>
      <c r="ANC4751" s="693"/>
      <c r="AND4751" s="696"/>
      <c r="ANE4751" s="693"/>
      <c r="ANF4751" s="696"/>
      <c r="ANG4751" s="693"/>
      <c r="ANH4751" s="696"/>
      <c r="ANI4751" s="693"/>
      <c r="ANJ4751" s="696"/>
      <c r="ANK4751" s="693"/>
      <c r="ANL4751" s="696"/>
      <c r="ANM4751" s="693"/>
      <c r="ANN4751" s="696"/>
      <c r="ANO4751" s="693"/>
      <c r="ANP4751" s="696"/>
      <c r="ANQ4751" s="693"/>
      <c r="ANR4751" s="696"/>
      <c r="ANS4751" s="693"/>
      <c r="ANT4751" s="696"/>
      <c r="ANU4751" s="693"/>
      <c r="ANV4751" s="696"/>
      <c r="ANW4751" s="693"/>
      <c r="ANX4751" s="696"/>
      <c r="ANY4751" s="693"/>
      <c r="ANZ4751" s="696"/>
      <c r="AOA4751" s="693"/>
      <c r="AOB4751" s="696"/>
      <c r="AOC4751" s="693"/>
      <c r="AOD4751" s="696"/>
      <c r="AOE4751" s="693"/>
      <c r="AOF4751" s="696"/>
      <c r="AOG4751" s="693"/>
      <c r="AOH4751" s="696"/>
      <c r="AOI4751" s="693"/>
      <c r="AOJ4751" s="696"/>
      <c r="AOK4751" s="693"/>
      <c r="AOL4751" s="696"/>
      <c r="AOM4751" s="693"/>
      <c r="AON4751" s="696"/>
      <c r="AOO4751" s="693"/>
      <c r="AOP4751" s="696"/>
      <c r="AOQ4751" s="693"/>
      <c r="AOR4751" s="696"/>
      <c r="AOS4751" s="693"/>
      <c r="AOT4751" s="696"/>
      <c r="AOU4751" s="693"/>
      <c r="AOV4751" s="696"/>
      <c r="AOW4751" s="693"/>
      <c r="AOX4751" s="696"/>
      <c r="AOY4751" s="693"/>
      <c r="AOZ4751" s="696"/>
      <c r="APA4751" s="693"/>
      <c r="APB4751" s="696"/>
      <c r="APC4751" s="693"/>
      <c r="APD4751" s="696"/>
      <c r="APE4751" s="693"/>
      <c r="APF4751" s="696"/>
      <c r="APG4751" s="693"/>
      <c r="APH4751" s="696"/>
      <c r="API4751" s="693"/>
      <c r="APJ4751" s="696"/>
      <c r="APK4751" s="693"/>
      <c r="APL4751" s="696"/>
      <c r="APM4751" s="693"/>
      <c r="APN4751" s="696"/>
      <c r="APO4751" s="693"/>
      <c r="APP4751" s="696"/>
      <c r="APQ4751" s="693"/>
      <c r="APR4751" s="696"/>
      <c r="APS4751" s="693"/>
      <c r="APT4751" s="696"/>
      <c r="APU4751" s="693"/>
      <c r="APV4751" s="696"/>
      <c r="APW4751" s="693"/>
      <c r="APX4751" s="696"/>
      <c r="APY4751" s="693"/>
      <c r="APZ4751" s="696"/>
      <c r="AQA4751" s="693"/>
      <c r="AQB4751" s="696"/>
      <c r="AQC4751" s="693"/>
      <c r="AQD4751" s="696"/>
      <c r="AQE4751" s="693"/>
      <c r="AQF4751" s="696"/>
      <c r="AQG4751" s="693"/>
      <c r="AQH4751" s="696"/>
      <c r="AQI4751" s="693"/>
      <c r="AQJ4751" s="696"/>
      <c r="AQK4751" s="693"/>
      <c r="AQL4751" s="696"/>
      <c r="AQM4751" s="693"/>
      <c r="AQN4751" s="696"/>
      <c r="AQO4751" s="693"/>
      <c r="AQP4751" s="696"/>
      <c r="AQQ4751" s="693"/>
      <c r="AQR4751" s="696"/>
      <c r="AQS4751" s="693"/>
      <c r="AQT4751" s="696"/>
      <c r="AQU4751" s="693"/>
      <c r="AQV4751" s="696"/>
      <c r="AQW4751" s="693"/>
      <c r="AQX4751" s="696"/>
      <c r="AQY4751" s="693"/>
      <c r="AQZ4751" s="696"/>
      <c r="ARA4751" s="693"/>
      <c r="ARB4751" s="696"/>
      <c r="ARC4751" s="693"/>
      <c r="ARD4751" s="696"/>
      <c r="ARE4751" s="693"/>
      <c r="ARF4751" s="696"/>
      <c r="ARG4751" s="693"/>
      <c r="ARH4751" s="696"/>
      <c r="ARI4751" s="693"/>
      <c r="ARJ4751" s="696"/>
      <c r="ARK4751" s="693"/>
      <c r="ARL4751" s="696"/>
      <c r="ARM4751" s="693"/>
      <c r="ARN4751" s="696"/>
      <c r="ARO4751" s="693"/>
      <c r="ARP4751" s="696"/>
      <c r="ARQ4751" s="693"/>
      <c r="ARR4751" s="696"/>
      <c r="ARS4751" s="693"/>
      <c r="ART4751" s="696"/>
      <c r="ARU4751" s="693"/>
      <c r="ARV4751" s="696"/>
      <c r="ARW4751" s="693"/>
      <c r="ARX4751" s="696"/>
      <c r="ARY4751" s="693"/>
      <c r="ARZ4751" s="696"/>
      <c r="ASA4751" s="693"/>
      <c r="ASB4751" s="696"/>
      <c r="ASC4751" s="693"/>
      <c r="ASD4751" s="696"/>
      <c r="ASE4751" s="693"/>
      <c r="ASF4751" s="696"/>
      <c r="ASG4751" s="693"/>
      <c r="ASH4751" s="696"/>
      <c r="ASI4751" s="693"/>
      <c r="ASJ4751" s="696"/>
      <c r="ASK4751" s="693"/>
      <c r="ASL4751" s="696"/>
      <c r="ASM4751" s="693"/>
      <c r="ASN4751" s="696"/>
      <c r="ASO4751" s="693"/>
      <c r="ASP4751" s="696"/>
      <c r="ASQ4751" s="693"/>
      <c r="ASR4751" s="696"/>
      <c r="ASS4751" s="693"/>
      <c r="AST4751" s="696"/>
      <c r="ASU4751" s="693"/>
      <c r="ASV4751" s="696"/>
      <c r="ASW4751" s="693"/>
      <c r="ASX4751" s="696"/>
      <c r="ASY4751" s="693"/>
      <c r="ASZ4751" s="696"/>
      <c r="ATA4751" s="693"/>
      <c r="ATB4751" s="696"/>
      <c r="ATC4751" s="693"/>
      <c r="ATD4751" s="696"/>
      <c r="ATE4751" s="693"/>
      <c r="ATF4751" s="696"/>
      <c r="ATG4751" s="693"/>
      <c r="ATH4751" s="696"/>
      <c r="ATI4751" s="693"/>
      <c r="ATJ4751" s="696"/>
      <c r="ATK4751" s="693"/>
      <c r="ATL4751" s="696"/>
      <c r="ATM4751" s="693"/>
      <c r="ATN4751" s="696"/>
      <c r="ATO4751" s="693"/>
      <c r="ATP4751" s="696"/>
      <c r="ATQ4751" s="693"/>
      <c r="ATR4751" s="696"/>
      <c r="ATS4751" s="693"/>
      <c r="ATT4751" s="696"/>
      <c r="ATU4751" s="693"/>
      <c r="ATV4751" s="696"/>
      <c r="ATW4751" s="693"/>
      <c r="ATX4751" s="696"/>
      <c r="ATY4751" s="693"/>
      <c r="ATZ4751" s="696"/>
      <c r="AUA4751" s="693"/>
      <c r="AUB4751" s="696"/>
      <c r="AUC4751" s="693"/>
      <c r="AUD4751" s="696"/>
      <c r="AUE4751" s="693"/>
      <c r="AUF4751" s="696"/>
      <c r="AUG4751" s="693"/>
      <c r="AUH4751" s="696"/>
      <c r="AUI4751" s="693"/>
      <c r="AUJ4751" s="696"/>
      <c r="AUK4751" s="693"/>
      <c r="AUL4751" s="696"/>
      <c r="AUM4751" s="693"/>
      <c r="AUN4751" s="696"/>
      <c r="AUO4751" s="693"/>
      <c r="AUP4751" s="696"/>
      <c r="AUQ4751" s="693"/>
      <c r="AUR4751" s="696"/>
      <c r="AUS4751" s="693"/>
      <c r="AUT4751" s="696"/>
      <c r="AUU4751" s="693"/>
      <c r="AUV4751" s="696"/>
      <c r="AUW4751" s="693"/>
      <c r="AUX4751" s="696"/>
      <c r="AUY4751" s="693"/>
      <c r="AUZ4751" s="696"/>
      <c r="AVA4751" s="693"/>
      <c r="AVB4751" s="696"/>
      <c r="AVC4751" s="693"/>
      <c r="AVD4751" s="696"/>
      <c r="AVE4751" s="693"/>
      <c r="AVF4751" s="696"/>
      <c r="AVG4751" s="693"/>
      <c r="AVH4751" s="696"/>
      <c r="AVI4751" s="693"/>
      <c r="AVJ4751" s="696"/>
      <c r="AVK4751" s="693"/>
      <c r="AVL4751" s="696"/>
      <c r="AVM4751" s="693"/>
      <c r="AVN4751" s="696"/>
      <c r="AVO4751" s="693"/>
      <c r="AVP4751" s="696"/>
      <c r="AVQ4751" s="693"/>
      <c r="AVR4751" s="696"/>
      <c r="AVS4751" s="693"/>
      <c r="AVT4751" s="696"/>
      <c r="AVU4751" s="693"/>
      <c r="AVV4751" s="696"/>
      <c r="AVW4751" s="693"/>
      <c r="AVX4751" s="696"/>
      <c r="AVY4751" s="693"/>
      <c r="AVZ4751" s="696"/>
      <c r="AWA4751" s="693"/>
      <c r="AWB4751" s="696"/>
      <c r="AWC4751" s="693"/>
      <c r="AWD4751" s="696"/>
      <c r="AWE4751" s="693"/>
      <c r="AWF4751" s="696"/>
      <c r="AWG4751" s="693"/>
      <c r="AWH4751" s="696"/>
      <c r="AWI4751" s="693"/>
      <c r="AWJ4751" s="696"/>
      <c r="AWK4751" s="693"/>
      <c r="AWL4751" s="696"/>
      <c r="AWM4751" s="693"/>
      <c r="AWN4751" s="696"/>
      <c r="AWO4751" s="693"/>
      <c r="AWP4751" s="696"/>
      <c r="AWQ4751" s="693"/>
      <c r="AWR4751" s="696"/>
      <c r="AWS4751" s="693"/>
      <c r="AWT4751" s="696"/>
      <c r="AWU4751" s="693"/>
      <c r="AWV4751" s="696"/>
      <c r="AWW4751" s="693"/>
      <c r="AWX4751" s="696"/>
      <c r="AWY4751" s="693"/>
      <c r="AWZ4751" s="696"/>
      <c r="AXA4751" s="693"/>
      <c r="AXB4751" s="696"/>
      <c r="AXC4751" s="693"/>
      <c r="AXD4751" s="696"/>
      <c r="AXE4751" s="693"/>
      <c r="AXF4751" s="696"/>
      <c r="AXG4751" s="693"/>
      <c r="AXH4751" s="696"/>
      <c r="AXI4751" s="693"/>
      <c r="AXJ4751" s="696"/>
      <c r="AXK4751" s="693"/>
      <c r="AXL4751" s="696"/>
      <c r="AXM4751" s="693"/>
      <c r="AXN4751" s="696"/>
      <c r="AXO4751" s="693"/>
      <c r="AXP4751" s="696"/>
      <c r="AXQ4751" s="693"/>
      <c r="AXR4751" s="696"/>
      <c r="AXS4751" s="693"/>
      <c r="AXT4751" s="696"/>
      <c r="AXU4751" s="693"/>
      <c r="AXV4751" s="696"/>
      <c r="AXW4751" s="693"/>
      <c r="AXX4751" s="696"/>
      <c r="AXY4751" s="693"/>
      <c r="AXZ4751" s="696"/>
      <c r="AYA4751" s="693"/>
      <c r="AYB4751" s="696"/>
      <c r="AYC4751" s="693"/>
      <c r="AYD4751" s="696"/>
      <c r="AYE4751" s="693"/>
      <c r="AYF4751" s="696"/>
      <c r="AYG4751" s="693"/>
      <c r="AYH4751" s="696"/>
      <c r="AYI4751" s="693"/>
      <c r="AYJ4751" s="696"/>
      <c r="AYK4751" s="693"/>
      <c r="AYL4751" s="696"/>
      <c r="AYM4751" s="693"/>
      <c r="AYN4751" s="696"/>
      <c r="AYO4751" s="693"/>
      <c r="AYP4751" s="696"/>
      <c r="AYQ4751" s="693"/>
      <c r="AYR4751" s="696"/>
      <c r="AYS4751" s="693"/>
      <c r="AYT4751" s="696"/>
      <c r="AYU4751" s="693"/>
      <c r="AYV4751" s="696"/>
      <c r="AYW4751" s="693"/>
      <c r="AYX4751" s="696"/>
      <c r="AYY4751" s="693"/>
      <c r="AYZ4751" s="696"/>
      <c r="AZA4751" s="693"/>
      <c r="AZB4751" s="696"/>
      <c r="AZC4751" s="693"/>
      <c r="AZD4751" s="696"/>
      <c r="AZE4751" s="693"/>
      <c r="AZF4751" s="696"/>
      <c r="AZG4751" s="693"/>
      <c r="AZH4751" s="696"/>
      <c r="AZI4751" s="693"/>
      <c r="AZJ4751" s="696"/>
      <c r="AZK4751" s="693"/>
      <c r="AZL4751" s="696"/>
      <c r="AZM4751" s="693"/>
      <c r="AZN4751" s="696"/>
      <c r="AZO4751" s="693"/>
      <c r="AZP4751" s="696"/>
      <c r="AZQ4751" s="693"/>
      <c r="AZR4751" s="696"/>
      <c r="AZS4751" s="693"/>
      <c r="AZT4751" s="696"/>
      <c r="AZU4751" s="693"/>
      <c r="AZV4751" s="696"/>
      <c r="AZW4751" s="693"/>
      <c r="AZX4751" s="696"/>
      <c r="AZY4751" s="693"/>
      <c r="AZZ4751" s="696"/>
      <c r="BAA4751" s="693"/>
      <c r="BAB4751" s="696"/>
      <c r="BAC4751" s="693"/>
      <c r="BAD4751" s="696"/>
      <c r="BAE4751" s="693"/>
      <c r="BAF4751" s="696"/>
      <c r="BAG4751" s="693"/>
      <c r="BAH4751" s="696"/>
      <c r="BAI4751" s="693"/>
      <c r="BAJ4751" s="696"/>
      <c r="BAK4751" s="693"/>
      <c r="BAL4751" s="696"/>
      <c r="BAM4751" s="693"/>
      <c r="BAN4751" s="696"/>
      <c r="BAO4751" s="693"/>
      <c r="BAP4751" s="696"/>
      <c r="BAQ4751" s="693"/>
      <c r="BAR4751" s="696"/>
      <c r="BAS4751" s="693"/>
      <c r="BAT4751" s="696"/>
      <c r="BAU4751" s="693"/>
      <c r="BAV4751" s="696"/>
      <c r="BAW4751" s="693"/>
      <c r="BAX4751" s="696"/>
      <c r="BAY4751" s="693"/>
      <c r="BAZ4751" s="696"/>
      <c r="BBA4751" s="693"/>
      <c r="BBB4751" s="696"/>
      <c r="BBC4751" s="693"/>
      <c r="BBD4751" s="696"/>
      <c r="BBE4751" s="693"/>
      <c r="BBF4751" s="696"/>
      <c r="BBG4751" s="693"/>
      <c r="BBH4751" s="696"/>
      <c r="BBI4751" s="693"/>
      <c r="BBJ4751" s="696"/>
      <c r="BBK4751" s="693"/>
      <c r="BBL4751" s="696"/>
      <c r="BBM4751" s="693"/>
      <c r="BBN4751" s="696"/>
      <c r="BBO4751" s="693"/>
      <c r="BBP4751" s="696"/>
      <c r="BBQ4751" s="693"/>
      <c r="BBR4751" s="696"/>
      <c r="BBS4751" s="693"/>
      <c r="BBT4751" s="696"/>
      <c r="BBU4751" s="693"/>
      <c r="BBV4751" s="696"/>
      <c r="BBW4751" s="693"/>
      <c r="BBX4751" s="696"/>
      <c r="BBY4751" s="693"/>
      <c r="BBZ4751" s="696"/>
      <c r="BCA4751" s="693"/>
      <c r="BCB4751" s="696"/>
      <c r="BCC4751" s="693"/>
      <c r="BCD4751" s="696"/>
      <c r="BCE4751" s="693"/>
      <c r="BCF4751" s="696"/>
      <c r="BCG4751" s="693"/>
      <c r="BCH4751" s="696"/>
      <c r="BCI4751" s="693"/>
      <c r="BCJ4751" s="696"/>
      <c r="BCK4751" s="693"/>
      <c r="BCL4751" s="696"/>
      <c r="BCM4751" s="693"/>
      <c r="BCN4751" s="696"/>
      <c r="BCO4751" s="693"/>
      <c r="BCP4751" s="696"/>
      <c r="BCQ4751" s="693"/>
      <c r="BCR4751" s="696"/>
      <c r="BCS4751" s="693"/>
      <c r="BCT4751" s="696"/>
      <c r="BCU4751" s="693"/>
      <c r="BCV4751" s="696"/>
      <c r="BCW4751" s="693"/>
      <c r="BCX4751" s="696"/>
      <c r="BCY4751" s="693"/>
      <c r="BCZ4751" s="696"/>
      <c r="BDA4751" s="693"/>
      <c r="BDB4751" s="696"/>
      <c r="BDC4751" s="693"/>
      <c r="BDD4751" s="696"/>
      <c r="BDE4751" s="693"/>
      <c r="BDF4751" s="696"/>
      <c r="BDG4751" s="693"/>
      <c r="BDH4751" s="696"/>
      <c r="BDI4751" s="693"/>
      <c r="BDJ4751" s="696"/>
      <c r="BDK4751" s="693"/>
      <c r="BDL4751" s="696"/>
      <c r="BDM4751" s="693"/>
      <c r="BDN4751" s="696"/>
      <c r="BDO4751" s="693"/>
      <c r="BDP4751" s="696"/>
      <c r="BDQ4751" s="693"/>
      <c r="BDR4751" s="696"/>
      <c r="BDS4751" s="693"/>
      <c r="BDT4751" s="696"/>
      <c r="BDU4751" s="693"/>
      <c r="BDV4751" s="696"/>
      <c r="BDW4751" s="693"/>
      <c r="BDX4751" s="696"/>
      <c r="BDY4751" s="693"/>
      <c r="BDZ4751" s="696"/>
      <c r="BEA4751" s="693"/>
      <c r="BEB4751" s="696"/>
      <c r="BEC4751" s="693"/>
      <c r="BED4751" s="696"/>
      <c r="BEE4751" s="693"/>
      <c r="BEF4751" s="696"/>
      <c r="BEG4751" s="693"/>
      <c r="BEH4751" s="696"/>
      <c r="BEI4751" s="693"/>
      <c r="BEJ4751" s="696"/>
      <c r="BEK4751" s="693"/>
      <c r="BEL4751" s="696"/>
      <c r="BEM4751" s="693"/>
      <c r="BEN4751" s="696"/>
      <c r="BEO4751" s="693"/>
      <c r="BEP4751" s="696"/>
      <c r="BEQ4751" s="693"/>
      <c r="BER4751" s="696"/>
      <c r="BES4751" s="693"/>
      <c r="BET4751" s="696"/>
      <c r="BEU4751" s="693"/>
      <c r="BEV4751" s="696"/>
      <c r="BEW4751" s="693"/>
      <c r="BEX4751" s="696"/>
      <c r="BEY4751" s="693"/>
      <c r="BEZ4751" s="696"/>
      <c r="BFA4751" s="693"/>
      <c r="BFB4751" s="696"/>
      <c r="BFC4751" s="693"/>
      <c r="BFD4751" s="696"/>
      <c r="BFE4751" s="693"/>
      <c r="BFF4751" s="696"/>
      <c r="BFG4751" s="693"/>
      <c r="BFH4751" s="696"/>
      <c r="BFI4751" s="693"/>
      <c r="BFJ4751" s="696"/>
      <c r="BFK4751" s="693"/>
      <c r="BFL4751" s="696"/>
      <c r="BFM4751" s="693"/>
      <c r="BFN4751" s="696"/>
      <c r="BFO4751" s="693"/>
      <c r="BFP4751" s="696"/>
      <c r="BFQ4751" s="693"/>
      <c r="BFR4751" s="696"/>
      <c r="BFS4751" s="693"/>
      <c r="BFT4751" s="696"/>
      <c r="BFU4751" s="693"/>
      <c r="BFV4751" s="696"/>
      <c r="BFW4751" s="693"/>
      <c r="BFX4751" s="696"/>
      <c r="BFY4751" s="693"/>
      <c r="BFZ4751" s="696"/>
      <c r="BGA4751" s="693"/>
      <c r="BGB4751" s="696"/>
      <c r="BGC4751" s="693"/>
      <c r="BGD4751" s="696"/>
      <c r="BGE4751" s="693"/>
      <c r="BGF4751" s="696"/>
      <c r="BGG4751" s="693"/>
      <c r="BGH4751" s="696"/>
      <c r="BGI4751" s="693"/>
      <c r="BGJ4751" s="696"/>
      <c r="BGK4751" s="693"/>
      <c r="BGL4751" s="696"/>
      <c r="BGM4751" s="693"/>
      <c r="BGN4751" s="696"/>
      <c r="BGO4751" s="693"/>
      <c r="BGP4751" s="696"/>
      <c r="BGQ4751" s="693"/>
      <c r="BGR4751" s="696"/>
      <c r="BGS4751" s="693"/>
      <c r="BGT4751" s="696"/>
      <c r="BGU4751" s="693"/>
      <c r="BGV4751" s="696"/>
      <c r="BGW4751" s="693"/>
      <c r="BGX4751" s="696"/>
      <c r="BGY4751" s="693"/>
      <c r="BGZ4751" s="696"/>
      <c r="BHA4751" s="693"/>
      <c r="BHB4751" s="696"/>
      <c r="BHC4751" s="693"/>
      <c r="BHD4751" s="696"/>
      <c r="BHE4751" s="693"/>
      <c r="BHF4751" s="696"/>
      <c r="BHG4751" s="693"/>
      <c r="BHH4751" s="696"/>
      <c r="BHI4751" s="693"/>
      <c r="BHJ4751" s="696"/>
      <c r="BHK4751" s="693"/>
      <c r="BHL4751" s="696"/>
      <c r="BHM4751" s="693"/>
      <c r="BHN4751" s="696"/>
      <c r="BHO4751" s="693"/>
      <c r="BHP4751" s="696"/>
      <c r="BHQ4751" s="693"/>
      <c r="BHR4751" s="696"/>
      <c r="BHS4751" s="693"/>
      <c r="BHT4751" s="696"/>
      <c r="BHU4751" s="693"/>
      <c r="BHV4751" s="696"/>
      <c r="BHW4751" s="693"/>
      <c r="BHX4751" s="696"/>
      <c r="BHY4751" s="693"/>
      <c r="BHZ4751" s="696"/>
      <c r="BIA4751" s="693"/>
      <c r="BIB4751" s="696"/>
      <c r="BIC4751" s="693"/>
      <c r="BID4751" s="696"/>
      <c r="BIE4751" s="693"/>
      <c r="BIF4751" s="696"/>
      <c r="BIG4751" s="693"/>
      <c r="BIH4751" s="696"/>
      <c r="BII4751" s="693"/>
      <c r="BIJ4751" s="696"/>
      <c r="BIK4751" s="693"/>
      <c r="BIL4751" s="696"/>
      <c r="BIM4751" s="693"/>
      <c r="BIN4751" s="696"/>
      <c r="BIO4751" s="693"/>
      <c r="BIP4751" s="696"/>
      <c r="BIQ4751" s="693"/>
      <c r="BIR4751" s="696"/>
      <c r="BIS4751" s="693"/>
      <c r="BIT4751" s="696"/>
      <c r="BIU4751" s="693"/>
      <c r="BIV4751" s="696"/>
      <c r="BIW4751" s="693"/>
      <c r="BIX4751" s="696"/>
      <c r="BIY4751" s="693"/>
      <c r="BIZ4751" s="696"/>
      <c r="BJA4751" s="693"/>
      <c r="BJB4751" s="696"/>
      <c r="BJC4751" s="693"/>
      <c r="BJD4751" s="696"/>
      <c r="BJE4751" s="693"/>
      <c r="BJF4751" s="696"/>
      <c r="BJG4751" s="693"/>
      <c r="BJH4751" s="696"/>
      <c r="BJI4751" s="693"/>
      <c r="BJJ4751" s="696"/>
      <c r="BJK4751" s="693"/>
      <c r="BJL4751" s="696"/>
      <c r="BJM4751" s="693"/>
      <c r="BJN4751" s="696"/>
      <c r="BJO4751" s="693"/>
      <c r="BJP4751" s="696"/>
      <c r="BJQ4751" s="693"/>
      <c r="BJR4751" s="696"/>
      <c r="BJS4751" s="693"/>
      <c r="BJT4751" s="696"/>
      <c r="BJU4751" s="693"/>
      <c r="BJV4751" s="696"/>
      <c r="BJW4751" s="693"/>
      <c r="BJX4751" s="696"/>
      <c r="BJY4751" s="693"/>
      <c r="BJZ4751" s="696"/>
      <c r="BKA4751" s="693"/>
      <c r="BKB4751" s="696"/>
      <c r="BKC4751" s="693"/>
      <c r="BKD4751" s="696"/>
      <c r="BKE4751" s="693"/>
      <c r="BKF4751" s="696"/>
      <c r="BKG4751" s="693"/>
      <c r="BKH4751" s="696"/>
      <c r="BKI4751" s="693"/>
      <c r="BKJ4751" s="696"/>
      <c r="BKK4751" s="693"/>
      <c r="BKL4751" s="696"/>
      <c r="BKM4751" s="693"/>
      <c r="BKN4751" s="696"/>
      <c r="BKO4751" s="693"/>
      <c r="BKP4751" s="696"/>
      <c r="BKQ4751" s="693"/>
      <c r="BKR4751" s="696"/>
      <c r="BKS4751" s="693"/>
      <c r="BKT4751" s="696"/>
      <c r="BKU4751" s="693"/>
      <c r="BKV4751" s="696"/>
      <c r="BKW4751" s="693"/>
      <c r="BKX4751" s="696"/>
      <c r="BKY4751" s="693"/>
      <c r="BKZ4751" s="696"/>
      <c r="BLA4751" s="693"/>
      <c r="BLB4751" s="696"/>
      <c r="BLC4751" s="693"/>
      <c r="BLD4751" s="696"/>
      <c r="BLE4751" s="693"/>
      <c r="BLF4751" s="696"/>
      <c r="BLG4751" s="693"/>
      <c r="BLH4751" s="696"/>
      <c r="BLI4751" s="693"/>
      <c r="BLJ4751" s="696"/>
      <c r="BLK4751" s="693"/>
      <c r="BLL4751" s="696"/>
      <c r="BLM4751" s="693"/>
      <c r="BLN4751" s="696"/>
      <c r="BLO4751" s="693"/>
      <c r="BLP4751" s="696"/>
      <c r="BLQ4751" s="693"/>
      <c r="BLR4751" s="696"/>
      <c r="BLS4751" s="693"/>
      <c r="BLT4751" s="696"/>
      <c r="BLU4751" s="693"/>
      <c r="BLV4751" s="696"/>
      <c r="BLW4751" s="693"/>
      <c r="BLX4751" s="696"/>
      <c r="BLY4751" s="693"/>
      <c r="BLZ4751" s="696"/>
      <c r="BMA4751" s="693"/>
      <c r="BMB4751" s="696"/>
      <c r="BMC4751" s="693"/>
      <c r="BMD4751" s="696"/>
      <c r="BME4751" s="693"/>
      <c r="BMF4751" s="696"/>
      <c r="BMG4751" s="693"/>
      <c r="BMH4751" s="696"/>
      <c r="BMI4751" s="693"/>
      <c r="BMJ4751" s="696"/>
      <c r="BMK4751" s="693"/>
      <c r="BML4751" s="696"/>
      <c r="BMM4751" s="693"/>
      <c r="BMN4751" s="696"/>
      <c r="BMO4751" s="693"/>
      <c r="BMP4751" s="696"/>
      <c r="BMQ4751" s="693"/>
      <c r="BMR4751" s="696"/>
      <c r="BMS4751" s="693"/>
      <c r="BMT4751" s="696"/>
      <c r="BMU4751" s="693"/>
      <c r="BMV4751" s="696"/>
      <c r="BMW4751" s="693"/>
      <c r="BMX4751" s="696"/>
      <c r="BMY4751" s="693"/>
      <c r="BMZ4751" s="696"/>
      <c r="BNA4751" s="693"/>
      <c r="BNB4751" s="696"/>
      <c r="BNC4751" s="693"/>
      <c r="BND4751" s="696"/>
      <c r="BNE4751" s="693"/>
      <c r="BNF4751" s="696"/>
      <c r="BNG4751" s="693"/>
      <c r="BNH4751" s="696"/>
      <c r="BNI4751" s="693"/>
      <c r="BNJ4751" s="696"/>
      <c r="BNK4751" s="693"/>
      <c r="BNL4751" s="696"/>
      <c r="BNM4751" s="693"/>
      <c r="BNN4751" s="696"/>
      <c r="BNO4751" s="693"/>
      <c r="BNP4751" s="696"/>
      <c r="BNQ4751" s="693"/>
      <c r="BNR4751" s="696"/>
      <c r="BNS4751" s="693"/>
      <c r="BNT4751" s="696"/>
      <c r="BNU4751" s="693"/>
      <c r="BNV4751" s="696"/>
      <c r="BNW4751" s="693"/>
      <c r="BNX4751" s="696"/>
      <c r="BNY4751" s="693"/>
      <c r="BNZ4751" s="696"/>
      <c r="BOA4751" s="693"/>
      <c r="BOB4751" s="696"/>
      <c r="BOC4751" s="693"/>
      <c r="BOD4751" s="696"/>
      <c r="BOE4751" s="693"/>
      <c r="BOF4751" s="696"/>
      <c r="BOG4751" s="693"/>
      <c r="BOH4751" s="696"/>
      <c r="BOI4751" s="693"/>
      <c r="BOJ4751" s="696"/>
      <c r="BOK4751" s="693"/>
      <c r="BOL4751" s="696"/>
      <c r="BOM4751" s="693"/>
      <c r="BON4751" s="696"/>
      <c r="BOO4751" s="693"/>
      <c r="BOP4751" s="696"/>
      <c r="BOQ4751" s="693"/>
      <c r="BOR4751" s="696"/>
      <c r="BOS4751" s="693"/>
      <c r="BOT4751" s="696"/>
      <c r="BOU4751" s="693"/>
      <c r="BOV4751" s="696"/>
      <c r="BOW4751" s="693"/>
      <c r="BOX4751" s="696"/>
      <c r="BOY4751" s="693"/>
      <c r="BOZ4751" s="696"/>
      <c r="BPA4751" s="693"/>
      <c r="BPB4751" s="696"/>
      <c r="BPC4751" s="693"/>
      <c r="BPD4751" s="696"/>
      <c r="BPE4751" s="693"/>
      <c r="BPF4751" s="696"/>
      <c r="BPG4751" s="693"/>
      <c r="BPH4751" s="696"/>
      <c r="BPI4751" s="693"/>
      <c r="BPJ4751" s="696"/>
      <c r="BPK4751" s="693"/>
      <c r="BPL4751" s="696"/>
      <c r="BPM4751" s="693"/>
      <c r="BPN4751" s="696"/>
      <c r="BPO4751" s="693"/>
      <c r="BPP4751" s="696"/>
      <c r="BPQ4751" s="693"/>
      <c r="BPR4751" s="696"/>
      <c r="BPS4751" s="693"/>
      <c r="BPT4751" s="696"/>
      <c r="BPU4751" s="693"/>
      <c r="BPV4751" s="696"/>
      <c r="BPW4751" s="693"/>
      <c r="BPX4751" s="696"/>
      <c r="BPY4751" s="693"/>
      <c r="BPZ4751" s="696"/>
      <c r="BQA4751" s="693"/>
      <c r="BQB4751" s="696"/>
      <c r="BQC4751" s="693"/>
      <c r="BQD4751" s="696"/>
      <c r="BQE4751" s="693"/>
      <c r="BQF4751" s="696"/>
      <c r="BQG4751" s="693"/>
      <c r="BQH4751" s="696"/>
      <c r="BQI4751" s="693"/>
      <c r="BQJ4751" s="696"/>
      <c r="BQK4751" s="693"/>
      <c r="BQL4751" s="696"/>
      <c r="BQM4751" s="693"/>
      <c r="BQN4751" s="696"/>
      <c r="BQO4751" s="693"/>
      <c r="BQP4751" s="696"/>
      <c r="BQQ4751" s="693"/>
      <c r="BQR4751" s="696"/>
      <c r="BQS4751" s="693"/>
      <c r="BQT4751" s="696"/>
      <c r="BQU4751" s="693"/>
      <c r="BQV4751" s="696"/>
      <c r="BQW4751" s="693"/>
      <c r="BQX4751" s="696"/>
      <c r="BQY4751" s="693"/>
      <c r="BQZ4751" s="696"/>
      <c r="BRA4751" s="693"/>
      <c r="BRB4751" s="696"/>
      <c r="BRC4751" s="693"/>
      <c r="BRD4751" s="696"/>
      <c r="BRE4751" s="693"/>
      <c r="BRF4751" s="696"/>
      <c r="BRG4751" s="693"/>
      <c r="BRH4751" s="696"/>
      <c r="BRI4751" s="693"/>
      <c r="BRJ4751" s="696"/>
      <c r="BRK4751" s="693"/>
      <c r="BRL4751" s="696"/>
      <c r="BRM4751" s="693"/>
      <c r="BRN4751" s="696"/>
      <c r="BRO4751" s="693"/>
      <c r="BRP4751" s="696"/>
      <c r="BRQ4751" s="693"/>
      <c r="BRR4751" s="696"/>
      <c r="BRS4751" s="693"/>
      <c r="BRT4751" s="696"/>
      <c r="BRU4751" s="693"/>
      <c r="BRV4751" s="696"/>
      <c r="BRW4751" s="693"/>
      <c r="BRX4751" s="696"/>
      <c r="BRY4751" s="693"/>
      <c r="BRZ4751" s="696"/>
      <c r="BSA4751" s="693"/>
      <c r="BSB4751" s="696"/>
      <c r="BSC4751" s="693"/>
      <c r="BSD4751" s="696"/>
      <c r="BSE4751" s="693"/>
      <c r="BSF4751" s="696"/>
      <c r="BSG4751" s="693"/>
      <c r="BSH4751" s="696"/>
      <c r="BSI4751" s="693"/>
      <c r="BSJ4751" s="696"/>
      <c r="BSK4751" s="693"/>
      <c r="BSL4751" s="696"/>
      <c r="BSM4751" s="693"/>
      <c r="BSN4751" s="696"/>
      <c r="BSO4751" s="693"/>
      <c r="BSP4751" s="696"/>
      <c r="BSQ4751" s="693"/>
      <c r="BSR4751" s="696"/>
      <c r="BSS4751" s="693"/>
      <c r="BST4751" s="696"/>
      <c r="BSU4751" s="693"/>
      <c r="BSV4751" s="696"/>
      <c r="BSW4751" s="693"/>
      <c r="BSX4751" s="696"/>
      <c r="BSY4751" s="693"/>
      <c r="BSZ4751" s="696"/>
      <c r="BTA4751" s="693"/>
      <c r="BTB4751" s="696"/>
      <c r="BTC4751" s="693"/>
      <c r="BTD4751" s="696"/>
      <c r="BTE4751" s="693"/>
      <c r="BTF4751" s="696"/>
      <c r="BTG4751" s="693"/>
      <c r="BTH4751" s="696"/>
      <c r="BTI4751" s="693"/>
      <c r="BTJ4751" s="696"/>
      <c r="BTK4751" s="693"/>
      <c r="BTL4751" s="696"/>
      <c r="BTM4751" s="693"/>
      <c r="BTN4751" s="696"/>
      <c r="BTO4751" s="693"/>
      <c r="BTP4751" s="696"/>
      <c r="BTQ4751" s="693"/>
      <c r="BTR4751" s="696"/>
      <c r="BTS4751" s="693"/>
      <c r="BTT4751" s="696"/>
      <c r="BTU4751" s="693"/>
      <c r="BTV4751" s="696"/>
      <c r="BTW4751" s="693"/>
      <c r="BTX4751" s="696"/>
      <c r="BTY4751" s="693"/>
      <c r="BTZ4751" s="696"/>
      <c r="BUA4751" s="693"/>
      <c r="BUB4751" s="696"/>
      <c r="BUC4751" s="693"/>
      <c r="BUD4751" s="696"/>
      <c r="BUE4751" s="693"/>
      <c r="BUF4751" s="696"/>
      <c r="BUG4751" s="693"/>
      <c r="BUH4751" s="696"/>
      <c r="BUI4751" s="693"/>
      <c r="BUJ4751" s="696"/>
      <c r="BUK4751" s="693"/>
      <c r="BUL4751" s="696"/>
      <c r="BUM4751" s="693"/>
      <c r="BUN4751" s="696"/>
      <c r="BUO4751" s="693"/>
      <c r="BUP4751" s="696"/>
      <c r="BUQ4751" s="693"/>
      <c r="BUR4751" s="696"/>
      <c r="BUS4751" s="693"/>
      <c r="BUT4751" s="696"/>
      <c r="BUU4751" s="693"/>
      <c r="BUV4751" s="696"/>
      <c r="BUW4751" s="693"/>
      <c r="BUX4751" s="696"/>
      <c r="BUY4751" s="693"/>
      <c r="BUZ4751" s="696"/>
      <c r="BVA4751" s="693"/>
      <c r="BVB4751" s="696"/>
      <c r="BVC4751" s="693"/>
      <c r="BVD4751" s="696"/>
      <c r="BVE4751" s="693"/>
      <c r="BVF4751" s="696"/>
      <c r="BVG4751" s="693"/>
      <c r="BVH4751" s="696"/>
      <c r="BVI4751" s="693"/>
      <c r="BVJ4751" s="696"/>
      <c r="BVK4751" s="693"/>
      <c r="BVL4751" s="696"/>
      <c r="BVM4751" s="693"/>
      <c r="BVN4751" s="696"/>
      <c r="BVO4751" s="693"/>
      <c r="BVP4751" s="696"/>
      <c r="BVQ4751" s="693"/>
      <c r="BVR4751" s="696"/>
      <c r="BVS4751" s="693"/>
      <c r="BVT4751" s="696"/>
      <c r="BVU4751" s="693"/>
      <c r="BVV4751" s="696"/>
      <c r="BVW4751" s="693"/>
      <c r="BVX4751" s="696"/>
      <c r="BVY4751" s="693"/>
      <c r="BVZ4751" s="696"/>
      <c r="BWA4751" s="693"/>
      <c r="BWB4751" s="696"/>
      <c r="BWC4751" s="693"/>
      <c r="BWD4751" s="696"/>
      <c r="BWE4751" s="693"/>
      <c r="BWF4751" s="696"/>
      <c r="BWG4751" s="693"/>
      <c r="BWH4751" s="696"/>
      <c r="BWI4751" s="693"/>
      <c r="BWJ4751" s="696"/>
      <c r="BWK4751" s="693"/>
      <c r="BWL4751" s="696"/>
      <c r="BWM4751" s="693"/>
      <c r="BWN4751" s="696"/>
      <c r="BWO4751" s="693"/>
      <c r="BWP4751" s="696"/>
      <c r="BWQ4751" s="693"/>
      <c r="BWR4751" s="696"/>
      <c r="BWS4751" s="693"/>
      <c r="BWT4751" s="696"/>
      <c r="BWU4751" s="693"/>
      <c r="BWV4751" s="696"/>
      <c r="BWW4751" s="693"/>
      <c r="BWX4751" s="696"/>
      <c r="BWY4751" s="693"/>
      <c r="BWZ4751" s="696"/>
      <c r="BXA4751" s="693"/>
      <c r="BXB4751" s="696"/>
      <c r="BXC4751" s="693"/>
      <c r="BXD4751" s="696"/>
      <c r="BXE4751" s="693"/>
      <c r="BXF4751" s="696"/>
      <c r="BXG4751" s="693"/>
      <c r="BXH4751" s="696"/>
      <c r="BXI4751" s="693"/>
      <c r="BXJ4751" s="696"/>
      <c r="BXK4751" s="693"/>
      <c r="BXL4751" s="696"/>
      <c r="BXM4751" s="693"/>
      <c r="BXN4751" s="696"/>
      <c r="BXO4751" s="693"/>
      <c r="BXP4751" s="696"/>
      <c r="BXQ4751" s="693"/>
      <c r="BXR4751" s="696"/>
      <c r="BXS4751" s="693"/>
      <c r="BXT4751" s="696"/>
      <c r="BXU4751" s="693"/>
      <c r="BXV4751" s="696"/>
      <c r="BXW4751" s="693"/>
      <c r="BXX4751" s="696"/>
      <c r="BXY4751" s="693"/>
      <c r="BXZ4751" s="696"/>
      <c r="BYA4751" s="693"/>
      <c r="BYB4751" s="696"/>
      <c r="BYC4751" s="693"/>
      <c r="BYD4751" s="696"/>
      <c r="BYE4751" s="693"/>
      <c r="BYF4751" s="696"/>
      <c r="BYG4751" s="693"/>
      <c r="BYH4751" s="696"/>
      <c r="BYI4751" s="693"/>
      <c r="BYJ4751" s="696"/>
      <c r="BYK4751" s="693"/>
      <c r="BYL4751" s="696"/>
      <c r="BYM4751" s="693"/>
      <c r="BYN4751" s="696"/>
      <c r="BYO4751" s="693"/>
      <c r="BYP4751" s="696"/>
      <c r="BYQ4751" s="693"/>
      <c r="BYR4751" s="696"/>
      <c r="BYS4751" s="693"/>
      <c r="BYT4751" s="696"/>
      <c r="BYU4751" s="693"/>
      <c r="BYV4751" s="696"/>
      <c r="BYW4751" s="693"/>
      <c r="BYX4751" s="696"/>
      <c r="BYY4751" s="693"/>
      <c r="BYZ4751" s="696"/>
      <c r="BZA4751" s="693"/>
      <c r="BZB4751" s="696"/>
      <c r="BZC4751" s="693"/>
      <c r="BZD4751" s="696"/>
      <c r="BZE4751" s="693"/>
      <c r="BZF4751" s="696"/>
      <c r="BZG4751" s="693"/>
      <c r="BZH4751" s="696"/>
      <c r="BZI4751" s="693"/>
      <c r="BZJ4751" s="696"/>
      <c r="BZK4751" s="693"/>
      <c r="BZL4751" s="696"/>
      <c r="BZM4751" s="693"/>
      <c r="BZN4751" s="696"/>
      <c r="BZO4751" s="693"/>
      <c r="BZP4751" s="696"/>
      <c r="BZQ4751" s="693"/>
      <c r="BZR4751" s="696"/>
      <c r="BZS4751" s="693"/>
      <c r="BZT4751" s="696"/>
      <c r="BZU4751" s="693"/>
      <c r="BZV4751" s="696"/>
      <c r="BZW4751" s="693"/>
      <c r="BZX4751" s="696"/>
      <c r="BZY4751" s="693"/>
      <c r="BZZ4751" s="696"/>
      <c r="CAA4751" s="693"/>
      <c r="CAB4751" s="696"/>
      <c r="CAC4751" s="693"/>
      <c r="CAD4751" s="696"/>
      <c r="CAE4751" s="693"/>
      <c r="CAF4751" s="696"/>
      <c r="CAG4751" s="693"/>
      <c r="CAH4751" s="696"/>
      <c r="CAI4751" s="693"/>
      <c r="CAJ4751" s="696"/>
      <c r="CAK4751" s="693"/>
      <c r="CAL4751" s="696"/>
      <c r="CAM4751" s="693"/>
      <c r="CAN4751" s="696"/>
      <c r="CAO4751" s="693"/>
      <c r="CAP4751" s="696"/>
      <c r="CAQ4751" s="693"/>
      <c r="CAR4751" s="696"/>
      <c r="CAS4751" s="693"/>
      <c r="CAT4751" s="696"/>
      <c r="CAU4751" s="693"/>
      <c r="CAV4751" s="696"/>
      <c r="CAW4751" s="693"/>
      <c r="CAX4751" s="696"/>
      <c r="CAY4751" s="693"/>
      <c r="CAZ4751" s="696"/>
      <c r="CBA4751" s="693"/>
      <c r="CBB4751" s="696"/>
      <c r="CBC4751" s="693"/>
      <c r="CBD4751" s="696"/>
      <c r="CBE4751" s="693"/>
      <c r="CBF4751" s="696"/>
      <c r="CBG4751" s="693"/>
      <c r="CBH4751" s="696"/>
      <c r="CBI4751" s="693"/>
      <c r="CBJ4751" s="696"/>
      <c r="CBK4751" s="693"/>
      <c r="CBL4751" s="696"/>
      <c r="CBM4751" s="693"/>
      <c r="CBN4751" s="696"/>
      <c r="CBO4751" s="693"/>
      <c r="CBP4751" s="696"/>
      <c r="CBQ4751" s="693"/>
      <c r="CBR4751" s="696"/>
      <c r="CBS4751" s="693"/>
      <c r="CBT4751" s="696"/>
      <c r="CBU4751" s="693"/>
      <c r="CBV4751" s="696"/>
      <c r="CBW4751" s="693"/>
      <c r="CBX4751" s="696"/>
      <c r="CBY4751" s="693"/>
      <c r="CBZ4751" s="696"/>
      <c r="CCA4751" s="693"/>
      <c r="CCB4751" s="696"/>
      <c r="CCC4751" s="693"/>
      <c r="CCD4751" s="696"/>
      <c r="CCE4751" s="693"/>
      <c r="CCF4751" s="696"/>
      <c r="CCG4751" s="693"/>
      <c r="CCH4751" s="696"/>
      <c r="CCI4751" s="693"/>
      <c r="CCJ4751" s="696"/>
      <c r="CCK4751" s="693"/>
      <c r="CCL4751" s="696"/>
      <c r="CCM4751" s="693"/>
      <c r="CCN4751" s="696"/>
      <c r="CCO4751" s="693"/>
      <c r="CCP4751" s="696"/>
      <c r="CCQ4751" s="693"/>
      <c r="CCR4751" s="696"/>
      <c r="CCS4751" s="693"/>
      <c r="CCT4751" s="696"/>
      <c r="CCU4751" s="693"/>
      <c r="CCV4751" s="696"/>
      <c r="CCW4751" s="693"/>
      <c r="CCX4751" s="696"/>
      <c r="CCY4751" s="693"/>
      <c r="CCZ4751" s="696"/>
      <c r="CDA4751" s="693"/>
      <c r="CDB4751" s="696"/>
      <c r="CDC4751" s="693"/>
      <c r="CDD4751" s="696"/>
      <c r="CDE4751" s="693"/>
      <c r="CDF4751" s="696"/>
      <c r="CDG4751" s="693"/>
      <c r="CDH4751" s="696"/>
      <c r="CDI4751" s="693"/>
      <c r="CDJ4751" s="696"/>
      <c r="CDK4751" s="693"/>
      <c r="CDL4751" s="696"/>
      <c r="CDM4751" s="693"/>
      <c r="CDN4751" s="696"/>
      <c r="CDO4751" s="693"/>
      <c r="CDP4751" s="696"/>
      <c r="CDQ4751" s="693"/>
      <c r="CDR4751" s="696"/>
      <c r="CDS4751" s="693"/>
      <c r="CDT4751" s="696"/>
      <c r="CDU4751" s="693"/>
      <c r="CDV4751" s="696"/>
      <c r="CDW4751" s="693"/>
      <c r="CDX4751" s="696"/>
      <c r="CDY4751" s="693"/>
      <c r="CDZ4751" s="696"/>
      <c r="CEA4751" s="693"/>
      <c r="CEB4751" s="696"/>
      <c r="CEC4751" s="693"/>
      <c r="CED4751" s="696"/>
      <c r="CEE4751" s="693"/>
      <c r="CEF4751" s="696"/>
      <c r="CEG4751" s="693"/>
      <c r="CEH4751" s="696"/>
      <c r="CEI4751" s="693"/>
      <c r="CEJ4751" s="696"/>
      <c r="CEK4751" s="693"/>
      <c r="CEL4751" s="696"/>
      <c r="CEM4751" s="693"/>
      <c r="CEN4751" s="696"/>
      <c r="CEO4751" s="693"/>
      <c r="CEP4751" s="696"/>
      <c r="CEQ4751" s="693"/>
      <c r="CER4751" s="696"/>
      <c r="CES4751" s="693"/>
      <c r="CET4751" s="696"/>
      <c r="CEU4751" s="693"/>
      <c r="CEV4751" s="696"/>
      <c r="CEW4751" s="693"/>
      <c r="CEX4751" s="696"/>
      <c r="CEY4751" s="693"/>
      <c r="CEZ4751" s="696"/>
      <c r="CFA4751" s="693"/>
      <c r="CFB4751" s="696"/>
      <c r="CFC4751" s="693"/>
      <c r="CFD4751" s="696"/>
      <c r="CFE4751" s="693"/>
      <c r="CFF4751" s="696"/>
      <c r="CFG4751" s="693"/>
      <c r="CFH4751" s="696"/>
      <c r="CFI4751" s="693"/>
      <c r="CFJ4751" s="696"/>
      <c r="CFK4751" s="693"/>
      <c r="CFL4751" s="696"/>
      <c r="CFM4751" s="693"/>
      <c r="CFN4751" s="696"/>
      <c r="CFO4751" s="693"/>
      <c r="CFP4751" s="696"/>
      <c r="CFQ4751" s="693"/>
      <c r="CFR4751" s="696"/>
      <c r="CFS4751" s="693"/>
      <c r="CFT4751" s="696"/>
      <c r="CFU4751" s="693"/>
      <c r="CFV4751" s="696"/>
      <c r="CFW4751" s="693"/>
      <c r="CFX4751" s="696"/>
      <c r="CFY4751" s="693"/>
      <c r="CFZ4751" s="696"/>
      <c r="CGA4751" s="693"/>
      <c r="CGB4751" s="696"/>
      <c r="CGC4751" s="693"/>
      <c r="CGD4751" s="696"/>
      <c r="CGE4751" s="693"/>
      <c r="CGF4751" s="696"/>
      <c r="CGG4751" s="693"/>
      <c r="CGH4751" s="696"/>
      <c r="CGI4751" s="693"/>
      <c r="CGJ4751" s="696"/>
      <c r="CGK4751" s="693"/>
      <c r="CGL4751" s="696"/>
      <c r="CGM4751" s="693"/>
      <c r="CGN4751" s="696"/>
      <c r="CGO4751" s="693"/>
      <c r="CGP4751" s="696"/>
      <c r="CGQ4751" s="693"/>
      <c r="CGR4751" s="696"/>
      <c r="CGS4751" s="693"/>
      <c r="CGT4751" s="696"/>
      <c r="CGU4751" s="693"/>
      <c r="CGV4751" s="696"/>
      <c r="CGW4751" s="693"/>
      <c r="CGX4751" s="696"/>
      <c r="CGY4751" s="693"/>
      <c r="CGZ4751" s="696"/>
      <c r="CHA4751" s="693"/>
      <c r="CHB4751" s="696"/>
      <c r="CHC4751" s="693"/>
      <c r="CHD4751" s="696"/>
      <c r="CHE4751" s="693"/>
      <c r="CHF4751" s="696"/>
      <c r="CHG4751" s="693"/>
      <c r="CHH4751" s="696"/>
      <c r="CHI4751" s="693"/>
      <c r="CHJ4751" s="696"/>
      <c r="CHK4751" s="693"/>
      <c r="CHL4751" s="696"/>
      <c r="CHM4751" s="693"/>
      <c r="CHN4751" s="696"/>
      <c r="CHO4751" s="693"/>
      <c r="CHP4751" s="696"/>
      <c r="CHQ4751" s="693"/>
      <c r="CHR4751" s="696"/>
      <c r="CHS4751" s="693"/>
      <c r="CHT4751" s="696"/>
      <c r="CHU4751" s="693"/>
      <c r="CHV4751" s="696"/>
      <c r="CHW4751" s="693"/>
      <c r="CHX4751" s="696"/>
      <c r="CHY4751" s="693"/>
      <c r="CHZ4751" s="696"/>
      <c r="CIA4751" s="693"/>
      <c r="CIB4751" s="696"/>
      <c r="CIC4751" s="693"/>
      <c r="CID4751" s="696"/>
      <c r="CIE4751" s="693"/>
      <c r="CIF4751" s="696"/>
      <c r="CIG4751" s="693"/>
      <c r="CIH4751" s="696"/>
      <c r="CII4751" s="693"/>
      <c r="CIJ4751" s="696"/>
      <c r="CIK4751" s="693"/>
      <c r="CIL4751" s="696"/>
      <c r="CIM4751" s="693"/>
      <c r="CIN4751" s="696"/>
      <c r="CIO4751" s="693"/>
      <c r="CIP4751" s="696"/>
      <c r="CIQ4751" s="693"/>
      <c r="CIR4751" s="696"/>
      <c r="CIS4751" s="693"/>
      <c r="CIT4751" s="696"/>
      <c r="CIU4751" s="693"/>
      <c r="CIV4751" s="696"/>
      <c r="CIW4751" s="693"/>
      <c r="CIX4751" s="696"/>
      <c r="CIY4751" s="693"/>
      <c r="CIZ4751" s="696"/>
      <c r="CJA4751" s="693"/>
      <c r="CJB4751" s="696"/>
      <c r="CJC4751" s="693"/>
      <c r="CJD4751" s="696"/>
      <c r="CJE4751" s="693"/>
      <c r="CJF4751" s="696"/>
      <c r="CJG4751" s="693"/>
      <c r="CJH4751" s="696"/>
      <c r="CJI4751" s="693"/>
      <c r="CJJ4751" s="696"/>
      <c r="CJK4751" s="693"/>
      <c r="CJL4751" s="696"/>
      <c r="CJM4751" s="693"/>
      <c r="CJN4751" s="696"/>
      <c r="CJO4751" s="693"/>
      <c r="CJP4751" s="696"/>
      <c r="CJQ4751" s="693"/>
      <c r="CJR4751" s="696"/>
      <c r="CJS4751" s="693"/>
      <c r="CJT4751" s="696"/>
      <c r="CJU4751" s="693"/>
      <c r="CJV4751" s="696"/>
      <c r="CJW4751" s="693"/>
      <c r="CJX4751" s="696"/>
      <c r="CJY4751" s="693"/>
      <c r="CJZ4751" s="696"/>
      <c r="CKA4751" s="693"/>
      <c r="CKB4751" s="696"/>
      <c r="CKC4751" s="693"/>
      <c r="CKD4751" s="696"/>
      <c r="CKE4751" s="693"/>
      <c r="CKF4751" s="696"/>
      <c r="CKG4751" s="693"/>
      <c r="CKH4751" s="696"/>
      <c r="CKI4751" s="693"/>
      <c r="CKJ4751" s="696"/>
      <c r="CKK4751" s="693"/>
      <c r="CKL4751" s="696"/>
      <c r="CKM4751" s="693"/>
      <c r="CKN4751" s="696"/>
      <c r="CKO4751" s="693"/>
      <c r="CKP4751" s="696"/>
      <c r="CKQ4751" s="693"/>
      <c r="CKR4751" s="696"/>
      <c r="CKS4751" s="693"/>
      <c r="CKT4751" s="696"/>
      <c r="CKU4751" s="693"/>
      <c r="CKV4751" s="696"/>
      <c r="CKW4751" s="693"/>
      <c r="CKX4751" s="696"/>
      <c r="CKY4751" s="693"/>
      <c r="CKZ4751" s="696"/>
      <c r="CLA4751" s="693"/>
      <c r="CLB4751" s="696"/>
      <c r="CLC4751" s="693"/>
      <c r="CLD4751" s="696"/>
      <c r="CLE4751" s="693"/>
      <c r="CLF4751" s="696"/>
      <c r="CLG4751" s="693"/>
      <c r="CLH4751" s="696"/>
      <c r="CLI4751" s="693"/>
      <c r="CLJ4751" s="696"/>
      <c r="CLK4751" s="693"/>
      <c r="CLL4751" s="696"/>
      <c r="CLM4751" s="693"/>
      <c r="CLN4751" s="696"/>
      <c r="CLO4751" s="693"/>
      <c r="CLP4751" s="696"/>
      <c r="CLQ4751" s="693"/>
      <c r="CLR4751" s="696"/>
      <c r="CLS4751" s="693"/>
      <c r="CLT4751" s="696"/>
      <c r="CLU4751" s="693"/>
      <c r="CLV4751" s="696"/>
      <c r="CLW4751" s="693"/>
      <c r="CLX4751" s="696"/>
      <c r="CLY4751" s="693"/>
      <c r="CLZ4751" s="696"/>
      <c r="CMA4751" s="693"/>
      <c r="CMB4751" s="696"/>
      <c r="CMC4751" s="693"/>
      <c r="CMD4751" s="696"/>
      <c r="CME4751" s="693"/>
      <c r="CMF4751" s="696"/>
      <c r="CMG4751" s="693"/>
      <c r="CMH4751" s="696"/>
      <c r="CMI4751" s="693"/>
      <c r="CMJ4751" s="696"/>
      <c r="CMK4751" s="693"/>
      <c r="CML4751" s="696"/>
      <c r="CMM4751" s="693"/>
      <c r="CMN4751" s="696"/>
      <c r="CMO4751" s="693"/>
      <c r="CMP4751" s="696"/>
      <c r="CMQ4751" s="693"/>
      <c r="CMR4751" s="696"/>
      <c r="CMS4751" s="693"/>
      <c r="CMT4751" s="696"/>
      <c r="CMU4751" s="693"/>
      <c r="CMV4751" s="696"/>
      <c r="CMW4751" s="693"/>
      <c r="CMX4751" s="696"/>
      <c r="CMY4751" s="693"/>
      <c r="CMZ4751" s="696"/>
      <c r="CNA4751" s="693"/>
      <c r="CNB4751" s="696"/>
      <c r="CNC4751" s="693"/>
      <c r="CND4751" s="696"/>
      <c r="CNE4751" s="693"/>
      <c r="CNF4751" s="696"/>
      <c r="CNG4751" s="693"/>
      <c r="CNH4751" s="696"/>
      <c r="CNI4751" s="693"/>
      <c r="CNJ4751" s="696"/>
      <c r="CNK4751" s="693"/>
      <c r="CNL4751" s="696"/>
      <c r="CNM4751" s="693"/>
      <c r="CNN4751" s="696"/>
      <c r="CNO4751" s="693"/>
      <c r="CNP4751" s="696"/>
      <c r="CNQ4751" s="693"/>
      <c r="CNR4751" s="696"/>
      <c r="CNS4751" s="693"/>
      <c r="CNT4751" s="696"/>
      <c r="CNU4751" s="693"/>
      <c r="CNV4751" s="696"/>
      <c r="CNW4751" s="693"/>
      <c r="CNX4751" s="696"/>
      <c r="CNY4751" s="693"/>
      <c r="CNZ4751" s="696"/>
      <c r="COA4751" s="693"/>
      <c r="COB4751" s="696"/>
      <c r="COC4751" s="693"/>
      <c r="COD4751" s="696"/>
      <c r="COE4751" s="693"/>
      <c r="COF4751" s="696"/>
      <c r="COG4751" s="693"/>
      <c r="COH4751" s="696"/>
      <c r="COI4751" s="693"/>
      <c r="COJ4751" s="696"/>
      <c r="COK4751" s="693"/>
      <c r="COL4751" s="696"/>
      <c r="COM4751" s="693"/>
      <c r="CON4751" s="696"/>
      <c r="COO4751" s="693"/>
      <c r="COP4751" s="696"/>
      <c r="COQ4751" s="693"/>
      <c r="COR4751" s="696"/>
      <c r="COS4751" s="693"/>
      <c r="COT4751" s="696"/>
      <c r="COU4751" s="693"/>
      <c r="COV4751" s="696"/>
      <c r="COW4751" s="693"/>
      <c r="COX4751" s="696"/>
      <c r="COY4751" s="693"/>
      <c r="COZ4751" s="696"/>
      <c r="CPA4751" s="693"/>
      <c r="CPB4751" s="696"/>
      <c r="CPC4751" s="693"/>
      <c r="CPD4751" s="696"/>
      <c r="CPE4751" s="693"/>
      <c r="CPF4751" s="696"/>
      <c r="CPG4751" s="693"/>
      <c r="CPH4751" s="696"/>
      <c r="CPI4751" s="693"/>
      <c r="CPJ4751" s="696"/>
      <c r="CPK4751" s="693"/>
      <c r="CPL4751" s="696"/>
      <c r="CPM4751" s="693"/>
      <c r="CPN4751" s="696"/>
      <c r="CPO4751" s="693"/>
      <c r="CPP4751" s="696"/>
      <c r="CPQ4751" s="693"/>
      <c r="CPR4751" s="696"/>
      <c r="CPS4751" s="693"/>
      <c r="CPT4751" s="696"/>
      <c r="CPU4751" s="693"/>
      <c r="CPV4751" s="696"/>
      <c r="CPW4751" s="693"/>
      <c r="CPX4751" s="696"/>
      <c r="CPY4751" s="693"/>
      <c r="CPZ4751" s="696"/>
      <c r="CQA4751" s="693"/>
      <c r="CQB4751" s="696"/>
      <c r="CQC4751" s="693"/>
      <c r="CQD4751" s="696"/>
      <c r="CQE4751" s="693"/>
      <c r="CQF4751" s="696"/>
      <c r="CQG4751" s="693"/>
      <c r="CQH4751" s="696"/>
      <c r="CQI4751" s="693"/>
      <c r="CQJ4751" s="696"/>
      <c r="CQK4751" s="693"/>
      <c r="CQL4751" s="696"/>
      <c r="CQM4751" s="693"/>
      <c r="CQN4751" s="696"/>
      <c r="CQO4751" s="693"/>
      <c r="CQP4751" s="696"/>
      <c r="CQQ4751" s="693"/>
      <c r="CQR4751" s="696"/>
      <c r="CQS4751" s="693"/>
      <c r="CQT4751" s="696"/>
      <c r="CQU4751" s="693"/>
      <c r="CQV4751" s="696"/>
      <c r="CQW4751" s="693"/>
      <c r="CQX4751" s="696"/>
      <c r="CQY4751" s="693"/>
      <c r="CQZ4751" s="696"/>
      <c r="CRA4751" s="693"/>
      <c r="CRB4751" s="696"/>
      <c r="CRC4751" s="693"/>
      <c r="CRD4751" s="696"/>
      <c r="CRE4751" s="693"/>
      <c r="CRF4751" s="696"/>
      <c r="CRG4751" s="693"/>
      <c r="CRH4751" s="696"/>
      <c r="CRI4751" s="693"/>
      <c r="CRJ4751" s="696"/>
      <c r="CRK4751" s="693"/>
      <c r="CRL4751" s="696"/>
      <c r="CRM4751" s="693"/>
      <c r="CRN4751" s="696"/>
      <c r="CRO4751" s="693"/>
      <c r="CRP4751" s="696"/>
      <c r="CRQ4751" s="693"/>
      <c r="CRR4751" s="696"/>
      <c r="CRS4751" s="693"/>
      <c r="CRT4751" s="696"/>
      <c r="CRU4751" s="693"/>
      <c r="CRV4751" s="696"/>
      <c r="CRW4751" s="693"/>
      <c r="CRX4751" s="696"/>
      <c r="CRY4751" s="693"/>
      <c r="CRZ4751" s="696"/>
      <c r="CSA4751" s="693"/>
      <c r="CSB4751" s="696"/>
      <c r="CSC4751" s="693"/>
      <c r="CSD4751" s="696"/>
      <c r="CSE4751" s="693"/>
      <c r="CSF4751" s="696"/>
      <c r="CSG4751" s="693"/>
      <c r="CSH4751" s="696"/>
      <c r="CSI4751" s="693"/>
      <c r="CSJ4751" s="696"/>
      <c r="CSK4751" s="693"/>
      <c r="CSL4751" s="696"/>
      <c r="CSM4751" s="693"/>
      <c r="CSN4751" s="696"/>
      <c r="CSO4751" s="693"/>
      <c r="CSP4751" s="696"/>
      <c r="CSQ4751" s="693"/>
      <c r="CSR4751" s="696"/>
      <c r="CSS4751" s="693"/>
      <c r="CST4751" s="696"/>
      <c r="CSU4751" s="693"/>
      <c r="CSV4751" s="696"/>
      <c r="CSW4751" s="693"/>
      <c r="CSX4751" s="696"/>
      <c r="CSY4751" s="693"/>
      <c r="CSZ4751" s="696"/>
      <c r="CTA4751" s="693"/>
      <c r="CTB4751" s="696"/>
      <c r="CTC4751" s="693"/>
      <c r="CTD4751" s="696"/>
      <c r="CTE4751" s="693"/>
      <c r="CTF4751" s="696"/>
      <c r="CTG4751" s="693"/>
      <c r="CTH4751" s="696"/>
      <c r="CTI4751" s="693"/>
      <c r="CTJ4751" s="696"/>
      <c r="CTK4751" s="693"/>
      <c r="CTL4751" s="696"/>
      <c r="CTM4751" s="693"/>
      <c r="CTN4751" s="696"/>
      <c r="CTO4751" s="693"/>
      <c r="CTP4751" s="696"/>
      <c r="CTQ4751" s="693"/>
      <c r="CTR4751" s="696"/>
      <c r="CTS4751" s="693"/>
      <c r="CTT4751" s="696"/>
      <c r="CTU4751" s="693"/>
      <c r="CTV4751" s="696"/>
      <c r="CTW4751" s="693"/>
      <c r="CTX4751" s="696"/>
      <c r="CTY4751" s="693"/>
      <c r="CTZ4751" s="696"/>
      <c r="CUA4751" s="693"/>
      <c r="CUB4751" s="696"/>
      <c r="CUC4751" s="693"/>
      <c r="CUD4751" s="696"/>
      <c r="CUE4751" s="693"/>
      <c r="CUF4751" s="696"/>
      <c r="CUG4751" s="693"/>
      <c r="CUH4751" s="696"/>
      <c r="CUI4751" s="693"/>
      <c r="CUJ4751" s="696"/>
      <c r="CUK4751" s="693"/>
      <c r="CUL4751" s="696"/>
      <c r="CUM4751" s="693"/>
      <c r="CUN4751" s="696"/>
      <c r="CUO4751" s="693"/>
      <c r="CUP4751" s="696"/>
      <c r="CUQ4751" s="693"/>
      <c r="CUR4751" s="696"/>
      <c r="CUS4751" s="693"/>
      <c r="CUT4751" s="696"/>
      <c r="CUU4751" s="693"/>
      <c r="CUV4751" s="696"/>
      <c r="CUW4751" s="693"/>
      <c r="CUX4751" s="696"/>
      <c r="CUY4751" s="693"/>
      <c r="CUZ4751" s="696"/>
      <c r="CVA4751" s="693"/>
      <c r="CVB4751" s="696"/>
      <c r="CVC4751" s="693"/>
      <c r="CVD4751" s="696"/>
      <c r="CVE4751" s="693"/>
      <c r="CVF4751" s="696"/>
      <c r="CVG4751" s="693"/>
      <c r="CVH4751" s="696"/>
      <c r="CVI4751" s="693"/>
      <c r="CVJ4751" s="696"/>
      <c r="CVK4751" s="693"/>
      <c r="CVL4751" s="696"/>
      <c r="CVM4751" s="693"/>
      <c r="CVN4751" s="696"/>
      <c r="CVO4751" s="693"/>
      <c r="CVP4751" s="696"/>
      <c r="CVQ4751" s="693"/>
      <c r="CVR4751" s="696"/>
      <c r="CVS4751" s="693"/>
      <c r="CVT4751" s="696"/>
      <c r="CVU4751" s="693"/>
      <c r="CVV4751" s="696"/>
      <c r="CVW4751" s="693"/>
      <c r="CVX4751" s="696"/>
      <c r="CVY4751" s="693"/>
      <c r="CVZ4751" s="696"/>
      <c r="CWA4751" s="693"/>
      <c r="CWB4751" s="696"/>
      <c r="CWC4751" s="693"/>
      <c r="CWD4751" s="696"/>
      <c r="CWE4751" s="693"/>
      <c r="CWF4751" s="696"/>
      <c r="CWG4751" s="693"/>
      <c r="CWH4751" s="696"/>
      <c r="CWI4751" s="693"/>
      <c r="CWJ4751" s="696"/>
      <c r="CWK4751" s="693"/>
      <c r="CWL4751" s="696"/>
      <c r="CWM4751" s="693"/>
      <c r="CWN4751" s="696"/>
      <c r="CWO4751" s="693"/>
      <c r="CWP4751" s="696"/>
      <c r="CWQ4751" s="693"/>
      <c r="CWR4751" s="696"/>
      <c r="CWS4751" s="693"/>
      <c r="CWT4751" s="696"/>
      <c r="CWU4751" s="693"/>
      <c r="CWV4751" s="696"/>
      <c r="CWW4751" s="693"/>
      <c r="CWX4751" s="696"/>
      <c r="CWY4751" s="693"/>
      <c r="CWZ4751" s="696"/>
      <c r="CXA4751" s="693"/>
      <c r="CXB4751" s="696"/>
      <c r="CXC4751" s="693"/>
      <c r="CXD4751" s="696"/>
      <c r="CXE4751" s="693"/>
      <c r="CXF4751" s="696"/>
      <c r="CXG4751" s="693"/>
      <c r="CXH4751" s="696"/>
      <c r="CXI4751" s="693"/>
      <c r="CXJ4751" s="696"/>
      <c r="CXK4751" s="693"/>
      <c r="CXL4751" s="696"/>
      <c r="CXM4751" s="693"/>
      <c r="CXN4751" s="696"/>
      <c r="CXO4751" s="693"/>
      <c r="CXP4751" s="696"/>
      <c r="CXQ4751" s="693"/>
      <c r="CXR4751" s="696"/>
      <c r="CXS4751" s="693"/>
      <c r="CXT4751" s="696"/>
      <c r="CXU4751" s="693"/>
      <c r="CXV4751" s="696"/>
      <c r="CXW4751" s="693"/>
      <c r="CXX4751" s="696"/>
      <c r="CXY4751" s="693"/>
      <c r="CXZ4751" s="696"/>
      <c r="CYA4751" s="693"/>
      <c r="CYB4751" s="696"/>
      <c r="CYC4751" s="693"/>
      <c r="CYD4751" s="696"/>
      <c r="CYE4751" s="693"/>
      <c r="CYF4751" s="696"/>
      <c r="CYG4751" s="693"/>
      <c r="CYH4751" s="696"/>
      <c r="CYI4751" s="693"/>
      <c r="CYJ4751" s="696"/>
      <c r="CYK4751" s="693"/>
      <c r="CYL4751" s="696"/>
      <c r="CYM4751" s="693"/>
      <c r="CYN4751" s="696"/>
      <c r="CYO4751" s="693"/>
      <c r="CYP4751" s="696"/>
      <c r="CYQ4751" s="693"/>
      <c r="CYR4751" s="696"/>
      <c r="CYS4751" s="693"/>
      <c r="CYT4751" s="696"/>
      <c r="CYU4751" s="693"/>
      <c r="CYV4751" s="696"/>
      <c r="CYW4751" s="693"/>
      <c r="CYX4751" s="696"/>
      <c r="CYY4751" s="693"/>
      <c r="CYZ4751" s="696"/>
      <c r="CZA4751" s="693"/>
      <c r="CZB4751" s="696"/>
      <c r="CZC4751" s="693"/>
      <c r="CZD4751" s="696"/>
      <c r="CZE4751" s="693"/>
      <c r="CZF4751" s="696"/>
      <c r="CZG4751" s="693"/>
      <c r="CZH4751" s="696"/>
      <c r="CZI4751" s="693"/>
      <c r="CZJ4751" s="696"/>
      <c r="CZK4751" s="693"/>
      <c r="CZL4751" s="696"/>
      <c r="CZM4751" s="693"/>
      <c r="CZN4751" s="696"/>
      <c r="CZO4751" s="693"/>
      <c r="CZP4751" s="696"/>
      <c r="CZQ4751" s="693"/>
      <c r="CZR4751" s="696"/>
      <c r="CZS4751" s="693"/>
      <c r="CZT4751" s="696"/>
      <c r="CZU4751" s="693"/>
      <c r="CZV4751" s="696"/>
      <c r="CZW4751" s="693"/>
      <c r="CZX4751" s="696"/>
      <c r="CZY4751" s="693"/>
      <c r="CZZ4751" s="696"/>
      <c r="DAA4751" s="693"/>
      <c r="DAB4751" s="696"/>
      <c r="DAC4751" s="693"/>
      <c r="DAD4751" s="696"/>
      <c r="DAE4751" s="693"/>
      <c r="DAF4751" s="696"/>
      <c r="DAG4751" s="693"/>
      <c r="DAH4751" s="696"/>
      <c r="DAI4751" s="693"/>
      <c r="DAJ4751" s="696"/>
      <c r="DAK4751" s="693"/>
      <c r="DAL4751" s="696"/>
      <c r="DAM4751" s="693"/>
      <c r="DAN4751" s="696"/>
      <c r="DAO4751" s="693"/>
      <c r="DAP4751" s="696"/>
      <c r="DAQ4751" s="693"/>
      <c r="DAR4751" s="696"/>
      <c r="DAS4751" s="693"/>
      <c r="DAT4751" s="696"/>
      <c r="DAU4751" s="693"/>
      <c r="DAV4751" s="696"/>
      <c r="DAW4751" s="693"/>
      <c r="DAX4751" s="696"/>
      <c r="DAY4751" s="693"/>
      <c r="DAZ4751" s="696"/>
      <c r="DBA4751" s="693"/>
      <c r="DBB4751" s="696"/>
      <c r="DBC4751" s="693"/>
      <c r="DBD4751" s="696"/>
      <c r="DBE4751" s="693"/>
      <c r="DBF4751" s="696"/>
      <c r="DBG4751" s="693"/>
      <c r="DBH4751" s="696"/>
      <c r="DBI4751" s="693"/>
      <c r="DBJ4751" s="696"/>
      <c r="DBK4751" s="693"/>
      <c r="DBL4751" s="696"/>
      <c r="DBM4751" s="693"/>
      <c r="DBN4751" s="696"/>
      <c r="DBO4751" s="693"/>
      <c r="DBP4751" s="696"/>
      <c r="DBQ4751" s="693"/>
      <c r="DBR4751" s="696"/>
      <c r="DBS4751" s="693"/>
      <c r="DBT4751" s="696"/>
      <c r="DBU4751" s="693"/>
      <c r="DBV4751" s="696"/>
      <c r="DBW4751" s="693"/>
      <c r="DBX4751" s="696"/>
      <c r="DBY4751" s="693"/>
      <c r="DBZ4751" s="696"/>
      <c r="DCA4751" s="693"/>
      <c r="DCB4751" s="696"/>
      <c r="DCC4751" s="693"/>
      <c r="DCD4751" s="696"/>
      <c r="DCE4751" s="693"/>
      <c r="DCF4751" s="696"/>
      <c r="DCG4751" s="693"/>
      <c r="DCH4751" s="696"/>
      <c r="DCI4751" s="693"/>
      <c r="DCJ4751" s="696"/>
      <c r="DCK4751" s="693"/>
      <c r="DCL4751" s="696"/>
      <c r="DCM4751" s="693"/>
      <c r="DCN4751" s="696"/>
      <c r="DCO4751" s="693"/>
      <c r="DCP4751" s="696"/>
      <c r="DCQ4751" s="693"/>
      <c r="DCR4751" s="696"/>
      <c r="DCS4751" s="693"/>
      <c r="DCT4751" s="696"/>
      <c r="DCU4751" s="693"/>
      <c r="DCV4751" s="696"/>
      <c r="DCW4751" s="693"/>
      <c r="DCX4751" s="696"/>
      <c r="DCY4751" s="693"/>
      <c r="DCZ4751" s="696"/>
      <c r="DDA4751" s="693"/>
      <c r="DDB4751" s="696"/>
      <c r="DDC4751" s="693"/>
      <c r="DDD4751" s="696"/>
      <c r="DDE4751" s="693"/>
      <c r="DDF4751" s="696"/>
      <c r="DDG4751" s="693"/>
      <c r="DDH4751" s="696"/>
      <c r="DDI4751" s="693"/>
      <c r="DDJ4751" s="696"/>
      <c r="DDK4751" s="693"/>
      <c r="DDL4751" s="696"/>
      <c r="DDM4751" s="693"/>
      <c r="DDN4751" s="696"/>
      <c r="DDO4751" s="693"/>
      <c r="DDP4751" s="696"/>
      <c r="DDQ4751" s="693"/>
      <c r="DDR4751" s="696"/>
      <c r="DDS4751" s="693"/>
      <c r="DDT4751" s="696"/>
      <c r="DDU4751" s="693"/>
      <c r="DDV4751" s="696"/>
      <c r="DDW4751" s="693"/>
      <c r="DDX4751" s="696"/>
      <c r="DDY4751" s="693"/>
      <c r="DDZ4751" s="696"/>
      <c r="DEA4751" s="693"/>
      <c r="DEB4751" s="696"/>
      <c r="DEC4751" s="693"/>
      <c r="DED4751" s="696"/>
      <c r="DEE4751" s="693"/>
      <c r="DEF4751" s="696"/>
      <c r="DEG4751" s="693"/>
      <c r="DEH4751" s="696"/>
      <c r="DEI4751" s="693"/>
      <c r="DEJ4751" s="696"/>
      <c r="DEK4751" s="693"/>
      <c r="DEL4751" s="696"/>
      <c r="DEM4751" s="693"/>
      <c r="DEN4751" s="696"/>
      <c r="DEO4751" s="693"/>
      <c r="DEP4751" s="696"/>
      <c r="DEQ4751" s="693"/>
      <c r="DER4751" s="696"/>
      <c r="DES4751" s="693"/>
      <c r="DET4751" s="696"/>
      <c r="DEU4751" s="693"/>
      <c r="DEV4751" s="696"/>
      <c r="DEW4751" s="693"/>
      <c r="DEX4751" s="696"/>
      <c r="DEY4751" s="693"/>
      <c r="DEZ4751" s="696"/>
      <c r="DFA4751" s="693"/>
      <c r="DFB4751" s="696"/>
      <c r="DFC4751" s="693"/>
      <c r="DFD4751" s="696"/>
      <c r="DFE4751" s="693"/>
      <c r="DFF4751" s="696"/>
      <c r="DFG4751" s="693"/>
      <c r="DFH4751" s="696"/>
      <c r="DFI4751" s="693"/>
      <c r="DFJ4751" s="696"/>
      <c r="DFK4751" s="693"/>
      <c r="DFL4751" s="696"/>
      <c r="DFM4751" s="693"/>
      <c r="DFN4751" s="696"/>
      <c r="DFO4751" s="693"/>
      <c r="DFP4751" s="696"/>
      <c r="DFQ4751" s="693"/>
      <c r="DFR4751" s="696"/>
      <c r="DFS4751" s="693"/>
      <c r="DFT4751" s="696"/>
      <c r="DFU4751" s="693"/>
      <c r="DFV4751" s="696"/>
      <c r="DFW4751" s="693"/>
      <c r="DFX4751" s="696"/>
      <c r="DFY4751" s="693"/>
      <c r="DFZ4751" s="696"/>
      <c r="DGA4751" s="693"/>
      <c r="DGB4751" s="696"/>
      <c r="DGC4751" s="693"/>
      <c r="DGD4751" s="696"/>
      <c r="DGE4751" s="693"/>
      <c r="DGF4751" s="696"/>
      <c r="DGG4751" s="693"/>
      <c r="DGH4751" s="696"/>
      <c r="DGI4751" s="693"/>
      <c r="DGJ4751" s="696"/>
      <c r="DGK4751" s="693"/>
      <c r="DGL4751" s="696"/>
      <c r="DGM4751" s="693"/>
      <c r="DGN4751" s="696"/>
      <c r="DGO4751" s="693"/>
      <c r="DGP4751" s="696"/>
      <c r="DGQ4751" s="693"/>
      <c r="DGR4751" s="696"/>
      <c r="DGS4751" s="693"/>
      <c r="DGT4751" s="696"/>
      <c r="DGU4751" s="693"/>
      <c r="DGV4751" s="696"/>
      <c r="DGW4751" s="693"/>
      <c r="DGX4751" s="696"/>
      <c r="DGY4751" s="693"/>
      <c r="DGZ4751" s="696"/>
      <c r="DHA4751" s="693"/>
      <c r="DHB4751" s="696"/>
      <c r="DHC4751" s="693"/>
      <c r="DHD4751" s="696"/>
      <c r="DHE4751" s="693"/>
      <c r="DHF4751" s="696"/>
      <c r="DHG4751" s="693"/>
      <c r="DHH4751" s="696"/>
      <c r="DHI4751" s="693"/>
      <c r="DHJ4751" s="696"/>
      <c r="DHK4751" s="693"/>
      <c r="DHL4751" s="696"/>
      <c r="DHM4751" s="693"/>
      <c r="DHN4751" s="696"/>
      <c r="DHO4751" s="693"/>
      <c r="DHP4751" s="696"/>
      <c r="DHQ4751" s="693"/>
      <c r="DHR4751" s="696"/>
      <c r="DHS4751" s="693"/>
      <c r="DHT4751" s="696"/>
      <c r="DHU4751" s="693"/>
      <c r="DHV4751" s="696"/>
      <c r="DHW4751" s="693"/>
      <c r="DHX4751" s="696"/>
      <c r="DHY4751" s="693"/>
      <c r="DHZ4751" s="696"/>
      <c r="DIA4751" s="693"/>
      <c r="DIB4751" s="696"/>
      <c r="DIC4751" s="693"/>
      <c r="DID4751" s="696"/>
      <c r="DIE4751" s="693"/>
      <c r="DIF4751" s="696"/>
      <c r="DIG4751" s="693"/>
      <c r="DIH4751" s="696"/>
      <c r="DII4751" s="693"/>
      <c r="DIJ4751" s="696"/>
      <c r="DIK4751" s="693"/>
      <c r="DIL4751" s="696"/>
      <c r="DIM4751" s="693"/>
      <c r="DIN4751" s="696"/>
      <c r="DIO4751" s="693"/>
      <c r="DIP4751" s="696"/>
      <c r="DIQ4751" s="693"/>
      <c r="DIR4751" s="696"/>
      <c r="DIS4751" s="693"/>
      <c r="DIT4751" s="696"/>
      <c r="DIU4751" s="693"/>
      <c r="DIV4751" s="696"/>
      <c r="DIW4751" s="693"/>
      <c r="DIX4751" s="696"/>
      <c r="DIY4751" s="693"/>
      <c r="DIZ4751" s="696"/>
      <c r="DJA4751" s="693"/>
      <c r="DJB4751" s="696"/>
      <c r="DJC4751" s="693"/>
      <c r="DJD4751" s="696"/>
      <c r="DJE4751" s="693"/>
      <c r="DJF4751" s="696"/>
      <c r="DJG4751" s="693"/>
      <c r="DJH4751" s="696"/>
      <c r="DJI4751" s="693"/>
      <c r="DJJ4751" s="696"/>
      <c r="DJK4751" s="693"/>
      <c r="DJL4751" s="696"/>
      <c r="DJM4751" s="693"/>
      <c r="DJN4751" s="696"/>
      <c r="DJO4751" s="693"/>
      <c r="DJP4751" s="696"/>
      <c r="DJQ4751" s="693"/>
      <c r="DJR4751" s="696"/>
      <c r="DJS4751" s="693"/>
      <c r="DJT4751" s="696"/>
      <c r="DJU4751" s="693"/>
      <c r="DJV4751" s="696"/>
      <c r="DJW4751" s="693"/>
      <c r="DJX4751" s="696"/>
      <c r="DJY4751" s="693"/>
      <c r="DJZ4751" s="696"/>
      <c r="DKA4751" s="693"/>
      <c r="DKB4751" s="696"/>
      <c r="DKC4751" s="693"/>
      <c r="DKD4751" s="696"/>
      <c r="DKE4751" s="693"/>
      <c r="DKF4751" s="696"/>
      <c r="DKG4751" s="693"/>
      <c r="DKH4751" s="696"/>
      <c r="DKI4751" s="693"/>
      <c r="DKJ4751" s="696"/>
      <c r="DKK4751" s="693"/>
      <c r="DKL4751" s="696"/>
      <c r="DKM4751" s="693"/>
      <c r="DKN4751" s="696"/>
      <c r="DKO4751" s="693"/>
      <c r="DKP4751" s="696"/>
      <c r="DKQ4751" s="693"/>
      <c r="DKR4751" s="696"/>
      <c r="DKS4751" s="693"/>
      <c r="DKT4751" s="696"/>
      <c r="DKU4751" s="693"/>
      <c r="DKV4751" s="696"/>
      <c r="DKW4751" s="693"/>
      <c r="DKX4751" s="696"/>
      <c r="DKY4751" s="693"/>
      <c r="DKZ4751" s="696"/>
      <c r="DLA4751" s="693"/>
      <c r="DLB4751" s="696"/>
      <c r="DLC4751" s="693"/>
      <c r="DLD4751" s="696"/>
      <c r="DLE4751" s="693"/>
      <c r="DLF4751" s="696"/>
      <c r="DLG4751" s="693"/>
      <c r="DLH4751" s="696"/>
      <c r="DLI4751" s="693"/>
      <c r="DLJ4751" s="696"/>
      <c r="DLK4751" s="693"/>
      <c r="DLL4751" s="696"/>
      <c r="DLM4751" s="693"/>
      <c r="DLN4751" s="696"/>
      <c r="DLO4751" s="693"/>
      <c r="DLP4751" s="696"/>
      <c r="DLQ4751" s="693"/>
      <c r="DLR4751" s="696"/>
      <c r="DLS4751" s="693"/>
      <c r="DLT4751" s="696"/>
      <c r="DLU4751" s="693"/>
      <c r="DLV4751" s="696"/>
      <c r="DLW4751" s="693"/>
      <c r="DLX4751" s="696"/>
      <c r="DLY4751" s="693"/>
      <c r="DLZ4751" s="696"/>
      <c r="DMA4751" s="693"/>
      <c r="DMB4751" s="696"/>
      <c r="DMC4751" s="693"/>
      <c r="DMD4751" s="696"/>
      <c r="DME4751" s="693"/>
      <c r="DMF4751" s="696"/>
      <c r="DMG4751" s="693"/>
      <c r="DMH4751" s="696"/>
      <c r="DMI4751" s="693"/>
      <c r="DMJ4751" s="696"/>
      <c r="DMK4751" s="693"/>
      <c r="DML4751" s="696"/>
      <c r="DMM4751" s="693"/>
      <c r="DMN4751" s="696"/>
      <c r="DMO4751" s="693"/>
      <c r="DMP4751" s="696"/>
      <c r="DMQ4751" s="693"/>
      <c r="DMR4751" s="696"/>
      <c r="DMS4751" s="693"/>
      <c r="DMT4751" s="696"/>
      <c r="DMU4751" s="693"/>
      <c r="DMV4751" s="696"/>
      <c r="DMW4751" s="693"/>
      <c r="DMX4751" s="696"/>
      <c r="DMY4751" s="693"/>
      <c r="DMZ4751" s="696"/>
      <c r="DNA4751" s="693"/>
      <c r="DNB4751" s="696"/>
      <c r="DNC4751" s="693"/>
      <c r="DND4751" s="696"/>
      <c r="DNE4751" s="693"/>
      <c r="DNF4751" s="696"/>
      <c r="DNG4751" s="693"/>
      <c r="DNH4751" s="696"/>
      <c r="DNI4751" s="693"/>
      <c r="DNJ4751" s="696"/>
      <c r="DNK4751" s="693"/>
      <c r="DNL4751" s="696"/>
      <c r="DNM4751" s="693"/>
      <c r="DNN4751" s="696"/>
      <c r="DNO4751" s="693"/>
      <c r="DNP4751" s="696"/>
      <c r="DNQ4751" s="693"/>
      <c r="DNR4751" s="696"/>
      <c r="DNS4751" s="693"/>
      <c r="DNT4751" s="696"/>
      <c r="DNU4751" s="693"/>
      <c r="DNV4751" s="696"/>
      <c r="DNW4751" s="693"/>
      <c r="DNX4751" s="696"/>
      <c r="DNY4751" s="693"/>
      <c r="DNZ4751" s="696"/>
      <c r="DOA4751" s="693"/>
      <c r="DOB4751" s="696"/>
      <c r="DOC4751" s="693"/>
      <c r="DOD4751" s="696"/>
      <c r="DOE4751" s="693"/>
      <c r="DOF4751" s="696"/>
      <c r="DOG4751" s="693"/>
      <c r="DOH4751" s="696"/>
      <c r="DOI4751" s="693"/>
      <c r="DOJ4751" s="696"/>
      <c r="DOK4751" s="693"/>
      <c r="DOL4751" s="696"/>
      <c r="DOM4751" s="693"/>
      <c r="DON4751" s="696"/>
      <c r="DOO4751" s="693"/>
      <c r="DOP4751" s="696"/>
      <c r="DOQ4751" s="693"/>
      <c r="DOR4751" s="696"/>
      <c r="DOS4751" s="693"/>
      <c r="DOT4751" s="696"/>
      <c r="DOU4751" s="693"/>
      <c r="DOV4751" s="696"/>
      <c r="DOW4751" s="693"/>
      <c r="DOX4751" s="696"/>
      <c r="DOY4751" s="693"/>
      <c r="DOZ4751" s="696"/>
      <c r="DPA4751" s="693"/>
      <c r="DPB4751" s="696"/>
      <c r="DPC4751" s="693"/>
      <c r="DPD4751" s="696"/>
      <c r="DPE4751" s="693"/>
      <c r="DPF4751" s="696"/>
      <c r="DPG4751" s="693"/>
      <c r="DPH4751" s="696"/>
      <c r="DPI4751" s="693"/>
      <c r="DPJ4751" s="696"/>
      <c r="DPK4751" s="693"/>
      <c r="DPL4751" s="696"/>
      <c r="DPM4751" s="693"/>
      <c r="DPN4751" s="696"/>
      <c r="DPO4751" s="693"/>
      <c r="DPP4751" s="696"/>
      <c r="DPQ4751" s="693"/>
      <c r="DPR4751" s="696"/>
      <c r="DPS4751" s="693"/>
      <c r="DPT4751" s="696"/>
      <c r="DPU4751" s="693"/>
      <c r="DPV4751" s="696"/>
      <c r="DPW4751" s="693"/>
      <c r="DPX4751" s="696"/>
      <c r="DPY4751" s="693"/>
      <c r="DPZ4751" s="696"/>
      <c r="DQA4751" s="693"/>
      <c r="DQB4751" s="696"/>
      <c r="DQC4751" s="693"/>
      <c r="DQD4751" s="696"/>
      <c r="DQE4751" s="693"/>
      <c r="DQF4751" s="696"/>
      <c r="DQG4751" s="693"/>
      <c r="DQH4751" s="696"/>
      <c r="DQI4751" s="693"/>
      <c r="DQJ4751" s="696"/>
      <c r="DQK4751" s="693"/>
      <c r="DQL4751" s="696"/>
      <c r="DQM4751" s="693"/>
      <c r="DQN4751" s="696"/>
      <c r="DQO4751" s="693"/>
      <c r="DQP4751" s="696"/>
      <c r="DQQ4751" s="693"/>
      <c r="DQR4751" s="696"/>
      <c r="DQS4751" s="693"/>
      <c r="DQT4751" s="696"/>
      <c r="DQU4751" s="693"/>
      <c r="DQV4751" s="696"/>
      <c r="DQW4751" s="693"/>
      <c r="DQX4751" s="696"/>
      <c r="DQY4751" s="693"/>
      <c r="DQZ4751" s="696"/>
      <c r="DRA4751" s="693"/>
      <c r="DRB4751" s="696"/>
      <c r="DRC4751" s="693"/>
      <c r="DRD4751" s="696"/>
      <c r="DRE4751" s="693"/>
      <c r="DRF4751" s="696"/>
      <c r="DRG4751" s="693"/>
      <c r="DRH4751" s="696"/>
      <c r="DRI4751" s="693"/>
      <c r="DRJ4751" s="696"/>
      <c r="DRK4751" s="693"/>
      <c r="DRL4751" s="696"/>
      <c r="DRM4751" s="693"/>
      <c r="DRN4751" s="696"/>
      <c r="DRO4751" s="693"/>
      <c r="DRP4751" s="696"/>
      <c r="DRQ4751" s="693"/>
      <c r="DRR4751" s="696"/>
      <c r="DRS4751" s="693"/>
      <c r="DRT4751" s="696"/>
      <c r="DRU4751" s="693"/>
      <c r="DRV4751" s="696"/>
      <c r="DRW4751" s="693"/>
      <c r="DRX4751" s="696"/>
      <c r="DRY4751" s="693"/>
      <c r="DRZ4751" s="696"/>
      <c r="DSA4751" s="693"/>
      <c r="DSB4751" s="696"/>
      <c r="DSC4751" s="693"/>
      <c r="DSD4751" s="696"/>
      <c r="DSE4751" s="693"/>
      <c r="DSF4751" s="696"/>
      <c r="DSG4751" s="693"/>
      <c r="DSH4751" s="696"/>
      <c r="DSI4751" s="693"/>
      <c r="DSJ4751" s="696"/>
      <c r="DSK4751" s="693"/>
      <c r="DSL4751" s="696"/>
      <c r="DSM4751" s="693"/>
      <c r="DSN4751" s="696"/>
      <c r="DSO4751" s="693"/>
      <c r="DSP4751" s="696"/>
      <c r="DSQ4751" s="693"/>
      <c r="DSR4751" s="696"/>
      <c r="DSS4751" s="693"/>
      <c r="DST4751" s="696"/>
      <c r="DSU4751" s="693"/>
      <c r="DSV4751" s="696"/>
      <c r="DSW4751" s="693"/>
      <c r="DSX4751" s="696"/>
      <c r="DSY4751" s="693"/>
      <c r="DSZ4751" s="696"/>
      <c r="DTA4751" s="693"/>
      <c r="DTB4751" s="696"/>
      <c r="DTC4751" s="693"/>
      <c r="DTD4751" s="696"/>
      <c r="DTE4751" s="693"/>
      <c r="DTF4751" s="696"/>
      <c r="DTG4751" s="693"/>
      <c r="DTH4751" s="696"/>
      <c r="DTI4751" s="693"/>
      <c r="DTJ4751" s="696"/>
      <c r="DTK4751" s="693"/>
      <c r="DTL4751" s="696"/>
      <c r="DTM4751" s="693"/>
      <c r="DTN4751" s="696"/>
      <c r="DTO4751" s="693"/>
      <c r="DTP4751" s="696"/>
      <c r="DTQ4751" s="693"/>
      <c r="DTR4751" s="696"/>
      <c r="DTS4751" s="693"/>
      <c r="DTT4751" s="696"/>
      <c r="DTU4751" s="693"/>
      <c r="DTV4751" s="696"/>
      <c r="DTW4751" s="693"/>
      <c r="DTX4751" s="696"/>
      <c r="DTY4751" s="693"/>
      <c r="DTZ4751" s="696"/>
      <c r="DUA4751" s="693"/>
      <c r="DUB4751" s="696"/>
      <c r="DUC4751" s="693"/>
      <c r="DUD4751" s="696"/>
      <c r="DUE4751" s="693"/>
      <c r="DUF4751" s="696"/>
      <c r="DUG4751" s="693"/>
      <c r="DUH4751" s="696"/>
      <c r="DUI4751" s="693"/>
      <c r="DUJ4751" s="696"/>
      <c r="DUK4751" s="693"/>
      <c r="DUL4751" s="696"/>
      <c r="DUM4751" s="693"/>
      <c r="DUN4751" s="696"/>
      <c r="DUO4751" s="693"/>
      <c r="DUP4751" s="696"/>
      <c r="DUQ4751" s="693"/>
      <c r="DUR4751" s="696"/>
      <c r="DUS4751" s="693"/>
      <c r="DUT4751" s="696"/>
      <c r="DUU4751" s="693"/>
      <c r="DUV4751" s="696"/>
      <c r="DUW4751" s="693"/>
      <c r="DUX4751" s="696"/>
      <c r="DUY4751" s="693"/>
      <c r="DUZ4751" s="696"/>
      <c r="DVA4751" s="693"/>
      <c r="DVB4751" s="696"/>
      <c r="DVC4751" s="693"/>
      <c r="DVD4751" s="696"/>
      <c r="DVE4751" s="693"/>
      <c r="DVF4751" s="696"/>
      <c r="DVG4751" s="693"/>
      <c r="DVH4751" s="696"/>
      <c r="DVI4751" s="693"/>
      <c r="DVJ4751" s="696"/>
      <c r="DVK4751" s="693"/>
      <c r="DVL4751" s="696"/>
      <c r="DVM4751" s="693"/>
      <c r="DVN4751" s="696"/>
      <c r="DVO4751" s="693"/>
      <c r="DVP4751" s="696"/>
      <c r="DVQ4751" s="693"/>
      <c r="DVR4751" s="696"/>
      <c r="DVS4751" s="693"/>
      <c r="DVT4751" s="696"/>
      <c r="DVU4751" s="693"/>
      <c r="DVV4751" s="696"/>
      <c r="DVW4751" s="693"/>
      <c r="DVX4751" s="696"/>
      <c r="DVY4751" s="693"/>
      <c r="DVZ4751" s="696"/>
      <c r="DWA4751" s="693"/>
      <c r="DWB4751" s="696"/>
      <c r="DWC4751" s="693"/>
      <c r="DWD4751" s="696"/>
      <c r="DWE4751" s="693"/>
      <c r="DWF4751" s="696"/>
      <c r="DWG4751" s="693"/>
      <c r="DWH4751" s="696"/>
      <c r="DWI4751" s="693"/>
      <c r="DWJ4751" s="696"/>
      <c r="DWK4751" s="693"/>
      <c r="DWL4751" s="696"/>
      <c r="DWM4751" s="693"/>
      <c r="DWN4751" s="696"/>
      <c r="DWO4751" s="693"/>
      <c r="DWP4751" s="696"/>
      <c r="DWQ4751" s="693"/>
      <c r="DWR4751" s="696"/>
      <c r="DWS4751" s="693"/>
      <c r="DWT4751" s="696"/>
      <c r="DWU4751" s="693"/>
      <c r="DWV4751" s="696"/>
      <c r="DWW4751" s="693"/>
      <c r="DWX4751" s="696"/>
      <c r="DWY4751" s="693"/>
      <c r="DWZ4751" s="696"/>
      <c r="DXA4751" s="693"/>
      <c r="DXB4751" s="696"/>
      <c r="DXC4751" s="693"/>
      <c r="DXD4751" s="696"/>
      <c r="DXE4751" s="693"/>
      <c r="DXF4751" s="696"/>
      <c r="DXG4751" s="693"/>
      <c r="DXH4751" s="696"/>
      <c r="DXI4751" s="693"/>
      <c r="DXJ4751" s="696"/>
      <c r="DXK4751" s="693"/>
      <c r="DXL4751" s="696"/>
      <c r="DXM4751" s="693"/>
      <c r="DXN4751" s="696"/>
      <c r="DXO4751" s="693"/>
      <c r="DXP4751" s="696"/>
      <c r="DXQ4751" s="693"/>
      <c r="DXR4751" s="696"/>
      <c r="DXS4751" s="693"/>
      <c r="DXT4751" s="696"/>
      <c r="DXU4751" s="693"/>
      <c r="DXV4751" s="696"/>
      <c r="DXW4751" s="693"/>
      <c r="DXX4751" s="696"/>
      <c r="DXY4751" s="693"/>
      <c r="DXZ4751" s="696"/>
      <c r="DYA4751" s="693"/>
      <c r="DYB4751" s="696"/>
      <c r="DYC4751" s="693"/>
      <c r="DYD4751" s="696"/>
      <c r="DYE4751" s="693"/>
      <c r="DYF4751" s="696"/>
      <c r="DYG4751" s="693"/>
      <c r="DYH4751" s="696"/>
      <c r="DYI4751" s="693"/>
      <c r="DYJ4751" s="696"/>
      <c r="DYK4751" s="693"/>
      <c r="DYL4751" s="696"/>
      <c r="DYM4751" s="693"/>
      <c r="DYN4751" s="696"/>
      <c r="DYO4751" s="693"/>
      <c r="DYP4751" s="696"/>
      <c r="DYQ4751" s="693"/>
      <c r="DYR4751" s="696"/>
      <c r="DYS4751" s="693"/>
      <c r="DYT4751" s="696"/>
      <c r="DYU4751" s="693"/>
      <c r="DYV4751" s="696"/>
      <c r="DYW4751" s="693"/>
      <c r="DYX4751" s="696"/>
      <c r="DYY4751" s="693"/>
      <c r="DYZ4751" s="696"/>
      <c r="DZA4751" s="693"/>
      <c r="DZB4751" s="696"/>
      <c r="DZC4751" s="693"/>
      <c r="DZD4751" s="696"/>
      <c r="DZE4751" s="693"/>
      <c r="DZF4751" s="696"/>
      <c r="DZG4751" s="693"/>
      <c r="DZH4751" s="696"/>
      <c r="DZI4751" s="693"/>
      <c r="DZJ4751" s="696"/>
      <c r="DZK4751" s="693"/>
      <c r="DZL4751" s="696"/>
      <c r="DZM4751" s="693"/>
      <c r="DZN4751" s="696"/>
      <c r="DZO4751" s="693"/>
      <c r="DZP4751" s="696"/>
      <c r="DZQ4751" s="693"/>
      <c r="DZR4751" s="696"/>
      <c r="DZS4751" s="693"/>
      <c r="DZT4751" s="696"/>
      <c r="DZU4751" s="693"/>
      <c r="DZV4751" s="696"/>
      <c r="DZW4751" s="693"/>
      <c r="DZX4751" s="696"/>
      <c r="DZY4751" s="693"/>
      <c r="DZZ4751" s="696"/>
      <c r="EAA4751" s="693"/>
      <c r="EAB4751" s="696"/>
      <c r="EAC4751" s="693"/>
      <c r="EAD4751" s="696"/>
      <c r="EAE4751" s="693"/>
      <c r="EAF4751" s="696"/>
      <c r="EAG4751" s="693"/>
      <c r="EAH4751" s="696"/>
      <c r="EAI4751" s="693"/>
      <c r="EAJ4751" s="696"/>
      <c r="EAK4751" s="693"/>
      <c r="EAL4751" s="696"/>
      <c r="EAM4751" s="693"/>
      <c r="EAN4751" s="696"/>
      <c r="EAO4751" s="693"/>
      <c r="EAP4751" s="696"/>
      <c r="EAQ4751" s="693"/>
      <c r="EAR4751" s="696"/>
      <c r="EAS4751" s="693"/>
      <c r="EAT4751" s="696"/>
      <c r="EAU4751" s="693"/>
      <c r="EAV4751" s="696"/>
      <c r="EAW4751" s="693"/>
      <c r="EAX4751" s="696"/>
      <c r="EAY4751" s="693"/>
      <c r="EAZ4751" s="696"/>
      <c r="EBA4751" s="693"/>
      <c r="EBB4751" s="696"/>
      <c r="EBC4751" s="693"/>
      <c r="EBD4751" s="696"/>
      <c r="EBE4751" s="693"/>
      <c r="EBF4751" s="696"/>
      <c r="EBG4751" s="693"/>
      <c r="EBH4751" s="696"/>
      <c r="EBI4751" s="693"/>
      <c r="EBJ4751" s="696"/>
      <c r="EBK4751" s="693"/>
      <c r="EBL4751" s="696"/>
      <c r="EBM4751" s="693"/>
      <c r="EBN4751" s="696"/>
      <c r="EBO4751" s="693"/>
      <c r="EBP4751" s="696"/>
      <c r="EBQ4751" s="693"/>
      <c r="EBR4751" s="696"/>
      <c r="EBS4751" s="693"/>
      <c r="EBT4751" s="696"/>
      <c r="EBU4751" s="693"/>
      <c r="EBV4751" s="696"/>
      <c r="EBW4751" s="693"/>
      <c r="EBX4751" s="696"/>
      <c r="EBY4751" s="693"/>
      <c r="EBZ4751" s="696"/>
      <c r="ECA4751" s="693"/>
      <c r="ECB4751" s="696"/>
      <c r="ECC4751" s="693"/>
      <c r="ECD4751" s="696"/>
      <c r="ECE4751" s="693"/>
      <c r="ECF4751" s="696"/>
      <c r="ECG4751" s="693"/>
      <c r="ECH4751" s="696"/>
      <c r="ECI4751" s="693"/>
      <c r="ECJ4751" s="696"/>
      <c r="ECK4751" s="693"/>
      <c r="ECL4751" s="696"/>
      <c r="ECM4751" s="693"/>
      <c r="ECN4751" s="696"/>
      <c r="ECO4751" s="693"/>
      <c r="ECP4751" s="696"/>
      <c r="ECQ4751" s="693"/>
      <c r="ECR4751" s="696"/>
      <c r="ECS4751" s="693"/>
      <c r="ECT4751" s="696"/>
      <c r="ECU4751" s="693"/>
      <c r="ECV4751" s="696"/>
      <c r="ECW4751" s="693"/>
      <c r="ECX4751" s="696"/>
      <c r="ECY4751" s="693"/>
      <c r="ECZ4751" s="696"/>
      <c r="EDA4751" s="693"/>
      <c r="EDB4751" s="696"/>
      <c r="EDC4751" s="693"/>
      <c r="EDD4751" s="696"/>
      <c r="EDE4751" s="693"/>
      <c r="EDF4751" s="696"/>
      <c r="EDG4751" s="693"/>
      <c r="EDH4751" s="696"/>
      <c r="EDI4751" s="693"/>
      <c r="EDJ4751" s="696"/>
      <c r="EDK4751" s="693"/>
      <c r="EDL4751" s="696"/>
      <c r="EDM4751" s="693"/>
      <c r="EDN4751" s="696"/>
      <c r="EDO4751" s="693"/>
      <c r="EDP4751" s="696"/>
      <c r="EDQ4751" s="693"/>
      <c r="EDR4751" s="696"/>
      <c r="EDS4751" s="693"/>
      <c r="EDT4751" s="696"/>
      <c r="EDU4751" s="693"/>
      <c r="EDV4751" s="696"/>
      <c r="EDW4751" s="693"/>
      <c r="EDX4751" s="696"/>
      <c r="EDY4751" s="693"/>
      <c r="EDZ4751" s="696"/>
      <c r="EEA4751" s="693"/>
      <c r="EEB4751" s="696"/>
      <c r="EEC4751" s="693"/>
      <c r="EED4751" s="696"/>
      <c r="EEE4751" s="693"/>
      <c r="EEF4751" s="696"/>
      <c r="EEG4751" s="693"/>
      <c r="EEH4751" s="696"/>
      <c r="EEI4751" s="693"/>
      <c r="EEJ4751" s="696"/>
      <c r="EEK4751" s="693"/>
      <c r="EEL4751" s="696"/>
      <c r="EEM4751" s="693"/>
      <c r="EEN4751" s="696"/>
      <c r="EEO4751" s="693"/>
      <c r="EEP4751" s="696"/>
      <c r="EEQ4751" s="693"/>
      <c r="EER4751" s="696"/>
      <c r="EES4751" s="693"/>
      <c r="EET4751" s="696"/>
      <c r="EEU4751" s="693"/>
      <c r="EEV4751" s="696"/>
      <c r="EEW4751" s="693"/>
      <c r="EEX4751" s="696"/>
      <c r="EEY4751" s="693"/>
      <c r="EEZ4751" s="696"/>
      <c r="EFA4751" s="693"/>
      <c r="EFB4751" s="696"/>
      <c r="EFC4751" s="693"/>
      <c r="EFD4751" s="696"/>
      <c r="EFE4751" s="693"/>
      <c r="EFF4751" s="696"/>
      <c r="EFG4751" s="693"/>
      <c r="EFH4751" s="696"/>
      <c r="EFI4751" s="693"/>
      <c r="EFJ4751" s="696"/>
      <c r="EFK4751" s="693"/>
      <c r="EFL4751" s="696"/>
      <c r="EFM4751" s="693"/>
      <c r="EFN4751" s="696"/>
      <c r="EFO4751" s="693"/>
      <c r="EFP4751" s="696"/>
      <c r="EFQ4751" s="693"/>
      <c r="EFR4751" s="696"/>
      <c r="EFS4751" s="693"/>
      <c r="EFT4751" s="696"/>
      <c r="EFU4751" s="693"/>
      <c r="EFV4751" s="696"/>
      <c r="EFW4751" s="693"/>
      <c r="EFX4751" s="696"/>
      <c r="EFY4751" s="693"/>
      <c r="EFZ4751" s="696"/>
      <c r="EGA4751" s="693"/>
      <c r="EGB4751" s="696"/>
      <c r="EGC4751" s="693"/>
      <c r="EGD4751" s="696"/>
      <c r="EGE4751" s="693"/>
      <c r="EGF4751" s="696"/>
      <c r="EGG4751" s="693"/>
      <c r="EGH4751" s="696"/>
      <c r="EGI4751" s="693"/>
      <c r="EGJ4751" s="696"/>
      <c r="EGK4751" s="693"/>
      <c r="EGL4751" s="696"/>
      <c r="EGM4751" s="693"/>
      <c r="EGN4751" s="696"/>
      <c r="EGO4751" s="693"/>
      <c r="EGP4751" s="696"/>
      <c r="EGQ4751" s="693"/>
      <c r="EGR4751" s="696"/>
      <c r="EGS4751" s="693"/>
      <c r="EGT4751" s="696"/>
      <c r="EGU4751" s="693"/>
      <c r="EGV4751" s="696"/>
      <c r="EGW4751" s="693"/>
      <c r="EGX4751" s="696"/>
      <c r="EGY4751" s="693"/>
      <c r="EGZ4751" s="696"/>
      <c r="EHA4751" s="693"/>
      <c r="EHB4751" s="696"/>
      <c r="EHC4751" s="693"/>
      <c r="EHD4751" s="696"/>
      <c r="EHE4751" s="693"/>
      <c r="EHF4751" s="696"/>
      <c r="EHG4751" s="693"/>
      <c r="EHH4751" s="696"/>
      <c r="EHI4751" s="693"/>
      <c r="EHJ4751" s="696"/>
      <c r="EHK4751" s="693"/>
      <c r="EHL4751" s="696"/>
      <c r="EHM4751" s="693"/>
      <c r="EHN4751" s="696"/>
      <c r="EHO4751" s="693"/>
      <c r="EHP4751" s="696"/>
      <c r="EHQ4751" s="693"/>
      <c r="EHR4751" s="696"/>
      <c r="EHS4751" s="693"/>
      <c r="EHT4751" s="696"/>
      <c r="EHU4751" s="693"/>
      <c r="EHV4751" s="696"/>
      <c r="EHW4751" s="693"/>
      <c r="EHX4751" s="696"/>
      <c r="EHY4751" s="693"/>
      <c r="EHZ4751" s="696"/>
      <c r="EIA4751" s="693"/>
      <c r="EIB4751" s="696"/>
      <c r="EIC4751" s="693"/>
      <c r="EID4751" s="696"/>
      <c r="EIE4751" s="693"/>
      <c r="EIF4751" s="696"/>
      <c r="EIG4751" s="693"/>
      <c r="EIH4751" s="696"/>
      <c r="EII4751" s="693"/>
      <c r="EIJ4751" s="696"/>
      <c r="EIK4751" s="693"/>
      <c r="EIL4751" s="696"/>
      <c r="EIM4751" s="693"/>
      <c r="EIN4751" s="696"/>
      <c r="EIO4751" s="693"/>
      <c r="EIP4751" s="696"/>
      <c r="EIQ4751" s="693"/>
      <c r="EIR4751" s="696"/>
      <c r="EIS4751" s="693"/>
      <c r="EIT4751" s="696"/>
      <c r="EIU4751" s="693"/>
      <c r="EIV4751" s="696"/>
      <c r="EIW4751" s="693"/>
      <c r="EIX4751" s="696"/>
      <c r="EIY4751" s="693"/>
      <c r="EIZ4751" s="696"/>
      <c r="EJA4751" s="693"/>
      <c r="EJB4751" s="696"/>
      <c r="EJC4751" s="693"/>
      <c r="EJD4751" s="696"/>
      <c r="EJE4751" s="693"/>
      <c r="EJF4751" s="696"/>
      <c r="EJG4751" s="693"/>
      <c r="EJH4751" s="696"/>
      <c r="EJI4751" s="693"/>
      <c r="EJJ4751" s="696"/>
      <c r="EJK4751" s="693"/>
      <c r="EJL4751" s="696"/>
      <c r="EJM4751" s="693"/>
      <c r="EJN4751" s="696"/>
      <c r="EJO4751" s="693"/>
      <c r="EJP4751" s="696"/>
      <c r="EJQ4751" s="693"/>
      <c r="EJR4751" s="696"/>
      <c r="EJS4751" s="693"/>
      <c r="EJT4751" s="696"/>
      <c r="EJU4751" s="693"/>
      <c r="EJV4751" s="696"/>
      <c r="EJW4751" s="693"/>
      <c r="EJX4751" s="696"/>
      <c r="EJY4751" s="693"/>
      <c r="EJZ4751" s="696"/>
      <c r="EKA4751" s="693"/>
      <c r="EKB4751" s="696"/>
      <c r="EKC4751" s="693"/>
      <c r="EKD4751" s="696"/>
      <c r="EKE4751" s="693"/>
      <c r="EKF4751" s="696"/>
      <c r="EKG4751" s="693"/>
      <c r="EKH4751" s="696"/>
      <c r="EKI4751" s="693"/>
      <c r="EKJ4751" s="696"/>
      <c r="EKK4751" s="693"/>
      <c r="EKL4751" s="696"/>
      <c r="EKM4751" s="693"/>
      <c r="EKN4751" s="696"/>
      <c r="EKO4751" s="693"/>
      <c r="EKP4751" s="696"/>
      <c r="EKQ4751" s="693"/>
      <c r="EKR4751" s="696"/>
      <c r="EKS4751" s="693"/>
      <c r="EKT4751" s="696"/>
      <c r="EKU4751" s="693"/>
      <c r="EKV4751" s="696"/>
      <c r="EKW4751" s="693"/>
      <c r="EKX4751" s="696"/>
      <c r="EKY4751" s="693"/>
      <c r="EKZ4751" s="696"/>
      <c r="ELA4751" s="693"/>
      <c r="ELB4751" s="696"/>
      <c r="ELC4751" s="693"/>
      <c r="ELD4751" s="696"/>
      <c r="ELE4751" s="693"/>
      <c r="ELF4751" s="696"/>
      <c r="ELG4751" s="693"/>
      <c r="ELH4751" s="696"/>
      <c r="ELI4751" s="693"/>
      <c r="ELJ4751" s="696"/>
      <c r="ELK4751" s="693"/>
      <c r="ELL4751" s="696"/>
      <c r="ELM4751" s="693"/>
      <c r="ELN4751" s="696"/>
      <c r="ELO4751" s="693"/>
      <c r="ELP4751" s="696"/>
      <c r="ELQ4751" s="693"/>
      <c r="ELR4751" s="696"/>
      <c r="ELS4751" s="693"/>
      <c r="ELT4751" s="696"/>
      <c r="ELU4751" s="693"/>
      <c r="ELV4751" s="696"/>
      <c r="ELW4751" s="693"/>
      <c r="ELX4751" s="696"/>
      <c r="ELY4751" s="693"/>
      <c r="ELZ4751" s="696"/>
      <c r="EMA4751" s="693"/>
      <c r="EMB4751" s="696"/>
      <c r="EMC4751" s="693"/>
      <c r="EMD4751" s="696"/>
      <c r="EME4751" s="693"/>
      <c r="EMF4751" s="696"/>
      <c r="EMG4751" s="693"/>
      <c r="EMH4751" s="696"/>
      <c r="EMI4751" s="693"/>
      <c r="EMJ4751" s="696"/>
      <c r="EMK4751" s="693"/>
      <c r="EML4751" s="696"/>
      <c r="EMM4751" s="693"/>
      <c r="EMN4751" s="696"/>
      <c r="EMO4751" s="693"/>
      <c r="EMP4751" s="696"/>
      <c r="EMQ4751" s="693"/>
      <c r="EMR4751" s="696"/>
      <c r="EMS4751" s="693"/>
      <c r="EMT4751" s="696"/>
      <c r="EMU4751" s="693"/>
      <c r="EMV4751" s="696"/>
      <c r="EMW4751" s="693"/>
      <c r="EMX4751" s="696"/>
      <c r="EMY4751" s="693"/>
      <c r="EMZ4751" s="696"/>
      <c r="ENA4751" s="693"/>
      <c r="ENB4751" s="696"/>
      <c r="ENC4751" s="693"/>
      <c r="END4751" s="696"/>
      <c r="ENE4751" s="693"/>
      <c r="ENF4751" s="696"/>
      <c r="ENG4751" s="693"/>
      <c r="ENH4751" s="696"/>
      <c r="ENI4751" s="693"/>
      <c r="ENJ4751" s="696"/>
      <c r="ENK4751" s="693"/>
      <c r="ENL4751" s="696"/>
      <c r="ENM4751" s="693"/>
      <c r="ENN4751" s="696"/>
      <c r="ENO4751" s="693"/>
      <c r="ENP4751" s="696"/>
      <c r="ENQ4751" s="693"/>
      <c r="ENR4751" s="696"/>
      <c r="ENS4751" s="693"/>
      <c r="ENT4751" s="696"/>
      <c r="ENU4751" s="693"/>
      <c r="ENV4751" s="696"/>
      <c r="ENW4751" s="693"/>
      <c r="ENX4751" s="696"/>
      <c r="ENY4751" s="693"/>
      <c r="ENZ4751" s="696"/>
      <c r="EOA4751" s="693"/>
      <c r="EOB4751" s="696"/>
      <c r="EOC4751" s="693"/>
      <c r="EOD4751" s="696"/>
      <c r="EOE4751" s="693"/>
      <c r="EOF4751" s="696"/>
      <c r="EOG4751" s="693"/>
      <c r="EOH4751" s="696"/>
      <c r="EOI4751" s="693"/>
      <c r="EOJ4751" s="696"/>
      <c r="EOK4751" s="693"/>
      <c r="EOL4751" s="696"/>
      <c r="EOM4751" s="693"/>
      <c r="EON4751" s="696"/>
      <c r="EOO4751" s="693"/>
      <c r="EOP4751" s="696"/>
      <c r="EOQ4751" s="693"/>
      <c r="EOR4751" s="696"/>
      <c r="EOS4751" s="693"/>
      <c r="EOT4751" s="696"/>
      <c r="EOU4751" s="693"/>
      <c r="EOV4751" s="696"/>
      <c r="EOW4751" s="693"/>
      <c r="EOX4751" s="696"/>
      <c r="EOY4751" s="693"/>
      <c r="EOZ4751" s="696"/>
      <c r="EPA4751" s="693"/>
      <c r="EPB4751" s="696"/>
      <c r="EPC4751" s="693"/>
      <c r="EPD4751" s="696"/>
      <c r="EPE4751" s="693"/>
      <c r="EPF4751" s="696"/>
      <c r="EPG4751" s="693"/>
      <c r="EPH4751" s="696"/>
      <c r="EPI4751" s="693"/>
      <c r="EPJ4751" s="696"/>
      <c r="EPK4751" s="693"/>
      <c r="EPL4751" s="696"/>
      <c r="EPM4751" s="693"/>
      <c r="EPN4751" s="696"/>
      <c r="EPO4751" s="693"/>
      <c r="EPP4751" s="696"/>
      <c r="EPQ4751" s="693"/>
      <c r="EPR4751" s="696"/>
      <c r="EPS4751" s="693"/>
      <c r="EPT4751" s="696"/>
      <c r="EPU4751" s="693"/>
      <c r="EPV4751" s="696"/>
      <c r="EPW4751" s="693"/>
      <c r="EPX4751" s="696"/>
      <c r="EPY4751" s="693"/>
      <c r="EPZ4751" s="696"/>
      <c r="EQA4751" s="693"/>
      <c r="EQB4751" s="696"/>
      <c r="EQC4751" s="693"/>
      <c r="EQD4751" s="696"/>
      <c r="EQE4751" s="693"/>
      <c r="EQF4751" s="696"/>
      <c r="EQG4751" s="693"/>
      <c r="EQH4751" s="696"/>
      <c r="EQI4751" s="693"/>
      <c r="EQJ4751" s="696"/>
      <c r="EQK4751" s="693"/>
      <c r="EQL4751" s="696"/>
      <c r="EQM4751" s="693"/>
      <c r="EQN4751" s="696"/>
      <c r="EQO4751" s="693"/>
      <c r="EQP4751" s="696"/>
      <c r="EQQ4751" s="693"/>
      <c r="EQR4751" s="696"/>
      <c r="EQS4751" s="693"/>
      <c r="EQT4751" s="696"/>
      <c r="EQU4751" s="693"/>
      <c r="EQV4751" s="696"/>
      <c r="EQW4751" s="693"/>
      <c r="EQX4751" s="696"/>
      <c r="EQY4751" s="693"/>
      <c r="EQZ4751" s="696"/>
      <c r="ERA4751" s="693"/>
      <c r="ERB4751" s="696"/>
      <c r="ERC4751" s="693"/>
      <c r="ERD4751" s="696"/>
      <c r="ERE4751" s="693"/>
      <c r="ERF4751" s="696"/>
      <c r="ERG4751" s="693"/>
      <c r="ERH4751" s="696"/>
      <c r="ERI4751" s="693"/>
      <c r="ERJ4751" s="696"/>
      <c r="ERK4751" s="693"/>
      <c r="ERL4751" s="696"/>
      <c r="ERM4751" s="693"/>
      <c r="ERN4751" s="696"/>
      <c r="ERO4751" s="693"/>
      <c r="ERP4751" s="696"/>
      <c r="ERQ4751" s="693"/>
      <c r="ERR4751" s="696"/>
      <c r="ERS4751" s="693"/>
      <c r="ERT4751" s="696"/>
      <c r="ERU4751" s="693"/>
      <c r="ERV4751" s="696"/>
      <c r="ERW4751" s="693"/>
      <c r="ERX4751" s="696"/>
      <c r="ERY4751" s="693"/>
      <c r="ERZ4751" s="696"/>
      <c r="ESA4751" s="693"/>
      <c r="ESB4751" s="696"/>
      <c r="ESC4751" s="693"/>
      <c r="ESD4751" s="696"/>
      <c r="ESE4751" s="693"/>
      <c r="ESF4751" s="696"/>
      <c r="ESG4751" s="693"/>
      <c r="ESH4751" s="696"/>
      <c r="ESI4751" s="693"/>
      <c r="ESJ4751" s="696"/>
      <c r="ESK4751" s="693"/>
      <c r="ESL4751" s="696"/>
      <c r="ESM4751" s="693"/>
      <c r="ESN4751" s="696"/>
      <c r="ESO4751" s="693"/>
      <c r="ESP4751" s="696"/>
      <c r="ESQ4751" s="693"/>
      <c r="ESR4751" s="696"/>
      <c r="ESS4751" s="693"/>
      <c r="EST4751" s="696"/>
      <c r="ESU4751" s="693"/>
      <c r="ESV4751" s="696"/>
      <c r="ESW4751" s="693"/>
      <c r="ESX4751" s="696"/>
      <c r="ESY4751" s="693"/>
      <c r="ESZ4751" s="696"/>
      <c r="ETA4751" s="693"/>
      <c r="ETB4751" s="696"/>
      <c r="ETC4751" s="693"/>
      <c r="ETD4751" s="696"/>
      <c r="ETE4751" s="693"/>
      <c r="ETF4751" s="696"/>
      <c r="ETG4751" s="693"/>
      <c r="ETH4751" s="696"/>
      <c r="ETI4751" s="693"/>
      <c r="ETJ4751" s="696"/>
      <c r="ETK4751" s="693"/>
      <c r="ETL4751" s="696"/>
      <c r="ETM4751" s="693"/>
      <c r="ETN4751" s="696"/>
      <c r="ETO4751" s="693"/>
      <c r="ETP4751" s="696"/>
      <c r="ETQ4751" s="693"/>
      <c r="ETR4751" s="696"/>
      <c r="ETS4751" s="693"/>
      <c r="ETT4751" s="696"/>
      <c r="ETU4751" s="693"/>
      <c r="ETV4751" s="696"/>
      <c r="ETW4751" s="693"/>
      <c r="ETX4751" s="696"/>
      <c r="ETY4751" s="693"/>
      <c r="ETZ4751" s="696"/>
      <c r="EUA4751" s="693"/>
      <c r="EUB4751" s="696"/>
      <c r="EUC4751" s="693"/>
      <c r="EUD4751" s="696"/>
      <c r="EUE4751" s="693"/>
      <c r="EUF4751" s="696"/>
      <c r="EUG4751" s="693"/>
      <c r="EUH4751" s="696"/>
      <c r="EUI4751" s="693"/>
      <c r="EUJ4751" s="696"/>
      <c r="EUK4751" s="693"/>
      <c r="EUL4751" s="696"/>
      <c r="EUM4751" s="693"/>
      <c r="EUN4751" s="696"/>
      <c r="EUO4751" s="693"/>
      <c r="EUP4751" s="696"/>
      <c r="EUQ4751" s="693"/>
      <c r="EUR4751" s="696"/>
      <c r="EUS4751" s="693"/>
      <c r="EUT4751" s="696"/>
      <c r="EUU4751" s="693"/>
      <c r="EUV4751" s="696"/>
      <c r="EUW4751" s="693"/>
      <c r="EUX4751" s="696"/>
      <c r="EUY4751" s="693"/>
      <c r="EUZ4751" s="696"/>
      <c r="EVA4751" s="693"/>
      <c r="EVB4751" s="696"/>
      <c r="EVC4751" s="693"/>
      <c r="EVD4751" s="696"/>
      <c r="EVE4751" s="693"/>
      <c r="EVF4751" s="696"/>
      <c r="EVG4751" s="693"/>
      <c r="EVH4751" s="696"/>
      <c r="EVI4751" s="693"/>
      <c r="EVJ4751" s="696"/>
      <c r="EVK4751" s="693"/>
      <c r="EVL4751" s="696"/>
      <c r="EVM4751" s="693"/>
      <c r="EVN4751" s="696"/>
      <c r="EVO4751" s="693"/>
      <c r="EVP4751" s="696"/>
      <c r="EVQ4751" s="693"/>
      <c r="EVR4751" s="696"/>
      <c r="EVS4751" s="693"/>
      <c r="EVT4751" s="696"/>
      <c r="EVU4751" s="693"/>
      <c r="EVV4751" s="696"/>
      <c r="EVW4751" s="693"/>
      <c r="EVX4751" s="696"/>
      <c r="EVY4751" s="693"/>
      <c r="EVZ4751" s="696"/>
      <c r="EWA4751" s="693"/>
      <c r="EWB4751" s="696"/>
      <c r="EWC4751" s="693"/>
      <c r="EWD4751" s="696"/>
      <c r="EWE4751" s="693"/>
      <c r="EWF4751" s="696"/>
      <c r="EWG4751" s="693"/>
      <c r="EWH4751" s="696"/>
      <c r="EWI4751" s="693"/>
      <c r="EWJ4751" s="696"/>
      <c r="EWK4751" s="693"/>
      <c r="EWL4751" s="696"/>
      <c r="EWM4751" s="693"/>
      <c r="EWN4751" s="696"/>
      <c r="EWO4751" s="693"/>
      <c r="EWP4751" s="696"/>
      <c r="EWQ4751" s="693"/>
      <c r="EWR4751" s="696"/>
      <c r="EWS4751" s="693"/>
      <c r="EWT4751" s="696"/>
      <c r="EWU4751" s="693"/>
      <c r="EWV4751" s="696"/>
      <c r="EWW4751" s="693"/>
      <c r="EWX4751" s="696"/>
      <c r="EWY4751" s="693"/>
      <c r="EWZ4751" s="696"/>
      <c r="EXA4751" s="693"/>
      <c r="EXB4751" s="696"/>
      <c r="EXC4751" s="693"/>
      <c r="EXD4751" s="696"/>
      <c r="EXE4751" s="693"/>
      <c r="EXF4751" s="696"/>
      <c r="EXG4751" s="693"/>
      <c r="EXH4751" s="696"/>
      <c r="EXI4751" s="693"/>
      <c r="EXJ4751" s="696"/>
      <c r="EXK4751" s="693"/>
      <c r="EXL4751" s="696"/>
      <c r="EXM4751" s="693"/>
      <c r="EXN4751" s="696"/>
      <c r="EXO4751" s="693"/>
      <c r="EXP4751" s="696"/>
      <c r="EXQ4751" s="693"/>
      <c r="EXR4751" s="696"/>
      <c r="EXS4751" s="693"/>
      <c r="EXT4751" s="696"/>
      <c r="EXU4751" s="693"/>
      <c r="EXV4751" s="696"/>
      <c r="EXW4751" s="693"/>
      <c r="EXX4751" s="696"/>
      <c r="EXY4751" s="693"/>
      <c r="EXZ4751" s="696"/>
      <c r="EYA4751" s="693"/>
      <c r="EYB4751" s="696"/>
      <c r="EYC4751" s="693"/>
      <c r="EYD4751" s="696"/>
      <c r="EYE4751" s="693"/>
      <c r="EYF4751" s="696"/>
      <c r="EYG4751" s="693"/>
      <c r="EYH4751" s="696"/>
      <c r="EYI4751" s="693"/>
      <c r="EYJ4751" s="696"/>
      <c r="EYK4751" s="693"/>
      <c r="EYL4751" s="696"/>
      <c r="EYM4751" s="693"/>
      <c r="EYN4751" s="696"/>
      <c r="EYO4751" s="693"/>
      <c r="EYP4751" s="696"/>
      <c r="EYQ4751" s="693"/>
      <c r="EYR4751" s="696"/>
      <c r="EYS4751" s="693"/>
      <c r="EYT4751" s="696"/>
      <c r="EYU4751" s="693"/>
      <c r="EYV4751" s="696"/>
      <c r="EYW4751" s="693"/>
      <c r="EYX4751" s="696"/>
      <c r="EYY4751" s="693"/>
      <c r="EYZ4751" s="696"/>
      <c r="EZA4751" s="693"/>
      <c r="EZB4751" s="696"/>
      <c r="EZC4751" s="693"/>
      <c r="EZD4751" s="696"/>
      <c r="EZE4751" s="693"/>
      <c r="EZF4751" s="696"/>
      <c r="EZG4751" s="693"/>
      <c r="EZH4751" s="696"/>
      <c r="EZI4751" s="693"/>
      <c r="EZJ4751" s="696"/>
      <c r="EZK4751" s="693"/>
      <c r="EZL4751" s="696"/>
      <c r="EZM4751" s="693"/>
      <c r="EZN4751" s="696"/>
      <c r="EZO4751" s="693"/>
      <c r="EZP4751" s="696"/>
      <c r="EZQ4751" s="693"/>
      <c r="EZR4751" s="696"/>
      <c r="EZS4751" s="693"/>
      <c r="EZT4751" s="696"/>
      <c r="EZU4751" s="693"/>
      <c r="EZV4751" s="696"/>
      <c r="EZW4751" s="693"/>
      <c r="EZX4751" s="696"/>
      <c r="EZY4751" s="693"/>
      <c r="EZZ4751" s="696"/>
      <c r="FAA4751" s="693"/>
      <c r="FAB4751" s="696"/>
      <c r="FAC4751" s="693"/>
      <c r="FAD4751" s="696"/>
      <c r="FAE4751" s="693"/>
      <c r="FAF4751" s="696"/>
      <c r="FAG4751" s="693"/>
      <c r="FAH4751" s="696"/>
      <c r="FAI4751" s="693"/>
      <c r="FAJ4751" s="696"/>
      <c r="FAK4751" s="693"/>
      <c r="FAL4751" s="696"/>
      <c r="FAM4751" s="693"/>
      <c r="FAN4751" s="696"/>
      <c r="FAO4751" s="693"/>
      <c r="FAP4751" s="696"/>
      <c r="FAQ4751" s="693"/>
      <c r="FAR4751" s="696"/>
      <c r="FAS4751" s="693"/>
      <c r="FAT4751" s="696"/>
      <c r="FAU4751" s="693"/>
      <c r="FAV4751" s="696"/>
      <c r="FAW4751" s="693"/>
      <c r="FAX4751" s="696"/>
      <c r="FAY4751" s="693"/>
      <c r="FAZ4751" s="696"/>
      <c r="FBA4751" s="693"/>
      <c r="FBB4751" s="696"/>
      <c r="FBC4751" s="693"/>
      <c r="FBD4751" s="696"/>
      <c r="FBE4751" s="693"/>
      <c r="FBF4751" s="696"/>
      <c r="FBG4751" s="693"/>
      <c r="FBH4751" s="696"/>
      <c r="FBI4751" s="693"/>
      <c r="FBJ4751" s="696"/>
      <c r="FBK4751" s="693"/>
      <c r="FBL4751" s="696"/>
      <c r="FBM4751" s="693"/>
      <c r="FBN4751" s="696"/>
      <c r="FBO4751" s="693"/>
      <c r="FBP4751" s="696"/>
      <c r="FBQ4751" s="693"/>
      <c r="FBR4751" s="696"/>
      <c r="FBS4751" s="693"/>
      <c r="FBT4751" s="696"/>
      <c r="FBU4751" s="693"/>
      <c r="FBV4751" s="696"/>
      <c r="FBW4751" s="693"/>
      <c r="FBX4751" s="696"/>
      <c r="FBY4751" s="693"/>
      <c r="FBZ4751" s="696"/>
      <c r="FCA4751" s="693"/>
      <c r="FCB4751" s="696"/>
      <c r="FCC4751" s="693"/>
      <c r="FCD4751" s="696"/>
      <c r="FCE4751" s="693"/>
      <c r="FCF4751" s="696"/>
      <c r="FCG4751" s="693"/>
      <c r="FCH4751" s="696"/>
      <c r="FCI4751" s="693"/>
      <c r="FCJ4751" s="696"/>
      <c r="FCK4751" s="693"/>
      <c r="FCL4751" s="696"/>
      <c r="FCM4751" s="693"/>
      <c r="FCN4751" s="696"/>
      <c r="FCO4751" s="693"/>
      <c r="FCP4751" s="696"/>
      <c r="FCQ4751" s="693"/>
      <c r="FCR4751" s="696"/>
      <c r="FCS4751" s="693"/>
      <c r="FCT4751" s="696"/>
      <c r="FCU4751" s="693"/>
      <c r="FCV4751" s="696"/>
      <c r="FCW4751" s="693"/>
      <c r="FCX4751" s="696"/>
      <c r="FCY4751" s="693"/>
      <c r="FCZ4751" s="696"/>
      <c r="FDA4751" s="693"/>
      <c r="FDB4751" s="696"/>
      <c r="FDC4751" s="693"/>
      <c r="FDD4751" s="696"/>
      <c r="FDE4751" s="693"/>
      <c r="FDF4751" s="696"/>
      <c r="FDG4751" s="693"/>
      <c r="FDH4751" s="696"/>
      <c r="FDI4751" s="693"/>
      <c r="FDJ4751" s="696"/>
      <c r="FDK4751" s="693"/>
      <c r="FDL4751" s="696"/>
      <c r="FDM4751" s="693"/>
      <c r="FDN4751" s="696"/>
      <c r="FDO4751" s="693"/>
      <c r="FDP4751" s="696"/>
      <c r="FDQ4751" s="693"/>
      <c r="FDR4751" s="696"/>
      <c r="FDS4751" s="693"/>
      <c r="FDT4751" s="696"/>
      <c r="FDU4751" s="693"/>
      <c r="FDV4751" s="696"/>
      <c r="FDW4751" s="693"/>
      <c r="FDX4751" s="696"/>
      <c r="FDY4751" s="693"/>
      <c r="FDZ4751" s="696"/>
      <c r="FEA4751" s="693"/>
      <c r="FEB4751" s="696"/>
      <c r="FEC4751" s="693"/>
      <c r="FED4751" s="696"/>
      <c r="FEE4751" s="693"/>
      <c r="FEF4751" s="696"/>
      <c r="FEG4751" s="693"/>
      <c r="FEH4751" s="696"/>
      <c r="FEI4751" s="693"/>
      <c r="FEJ4751" s="696"/>
      <c r="FEK4751" s="693"/>
      <c r="FEL4751" s="696"/>
      <c r="FEM4751" s="693"/>
      <c r="FEN4751" s="696"/>
      <c r="FEO4751" s="693"/>
      <c r="FEP4751" s="696"/>
      <c r="FEQ4751" s="693"/>
      <c r="FER4751" s="696"/>
      <c r="FES4751" s="693"/>
      <c r="FET4751" s="696"/>
      <c r="FEU4751" s="693"/>
      <c r="FEV4751" s="696"/>
      <c r="FEW4751" s="693"/>
      <c r="FEX4751" s="696"/>
      <c r="FEY4751" s="693"/>
      <c r="FEZ4751" s="696"/>
      <c r="FFA4751" s="693"/>
      <c r="FFB4751" s="696"/>
      <c r="FFC4751" s="693"/>
      <c r="FFD4751" s="696"/>
      <c r="FFE4751" s="693"/>
      <c r="FFF4751" s="696"/>
      <c r="FFG4751" s="693"/>
      <c r="FFH4751" s="696"/>
      <c r="FFI4751" s="693"/>
      <c r="FFJ4751" s="696"/>
      <c r="FFK4751" s="693"/>
      <c r="FFL4751" s="696"/>
      <c r="FFM4751" s="693"/>
      <c r="FFN4751" s="696"/>
      <c r="FFO4751" s="693"/>
      <c r="FFP4751" s="696"/>
      <c r="FFQ4751" s="693"/>
      <c r="FFR4751" s="696"/>
      <c r="FFS4751" s="693"/>
      <c r="FFT4751" s="696"/>
      <c r="FFU4751" s="693"/>
      <c r="FFV4751" s="696"/>
      <c r="FFW4751" s="693"/>
      <c r="FFX4751" s="696"/>
      <c r="FFY4751" s="693"/>
      <c r="FFZ4751" s="696"/>
      <c r="FGA4751" s="693"/>
      <c r="FGB4751" s="696"/>
      <c r="FGC4751" s="693"/>
      <c r="FGD4751" s="696"/>
      <c r="FGE4751" s="693"/>
      <c r="FGF4751" s="696"/>
      <c r="FGG4751" s="693"/>
      <c r="FGH4751" s="696"/>
      <c r="FGI4751" s="693"/>
      <c r="FGJ4751" s="696"/>
      <c r="FGK4751" s="693"/>
      <c r="FGL4751" s="696"/>
      <c r="FGM4751" s="693"/>
      <c r="FGN4751" s="696"/>
      <c r="FGO4751" s="693"/>
      <c r="FGP4751" s="696"/>
      <c r="FGQ4751" s="693"/>
      <c r="FGR4751" s="696"/>
      <c r="FGS4751" s="693"/>
      <c r="FGT4751" s="696"/>
      <c r="FGU4751" s="693"/>
      <c r="FGV4751" s="696"/>
      <c r="FGW4751" s="693"/>
      <c r="FGX4751" s="696"/>
      <c r="FGY4751" s="693"/>
      <c r="FGZ4751" s="696"/>
      <c r="FHA4751" s="693"/>
      <c r="FHB4751" s="696"/>
      <c r="FHC4751" s="693"/>
      <c r="FHD4751" s="696"/>
      <c r="FHE4751" s="693"/>
      <c r="FHF4751" s="696"/>
      <c r="FHG4751" s="693"/>
      <c r="FHH4751" s="696"/>
      <c r="FHI4751" s="693"/>
      <c r="FHJ4751" s="696"/>
      <c r="FHK4751" s="693"/>
      <c r="FHL4751" s="696"/>
      <c r="FHM4751" s="693"/>
      <c r="FHN4751" s="696"/>
      <c r="FHO4751" s="693"/>
      <c r="FHP4751" s="696"/>
      <c r="FHQ4751" s="693"/>
      <c r="FHR4751" s="696"/>
      <c r="FHS4751" s="693"/>
      <c r="FHT4751" s="696"/>
      <c r="FHU4751" s="693"/>
      <c r="FHV4751" s="696"/>
      <c r="FHW4751" s="693"/>
      <c r="FHX4751" s="696"/>
      <c r="FHY4751" s="693"/>
      <c r="FHZ4751" s="696"/>
      <c r="FIA4751" s="693"/>
      <c r="FIB4751" s="696"/>
      <c r="FIC4751" s="693"/>
      <c r="FID4751" s="696"/>
      <c r="FIE4751" s="693"/>
      <c r="FIF4751" s="696"/>
      <c r="FIG4751" s="693"/>
      <c r="FIH4751" s="696"/>
      <c r="FII4751" s="693"/>
      <c r="FIJ4751" s="696"/>
      <c r="FIK4751" s="693"/>
      <c r="FIL4751" s="696"/>
      <c r="FIM4751" s="693"/>
      <c r="FIN4751" s="696"/>
      <c r="FIO4751" s="693"/>
      <c r="FIP4751" s="696"/>
      <c r="FIQ4751" s="693"/>
      <c r="FIR4751" s="696"/>
      <c r="FIS4751" s="693"/>
      <c r="FIT4751" s="696"/>
      <c r="FIU4751" s="693"/>
      <c r="FIV4751" s="696"/>
      <c r="FIW4751" s="693"/>
      <c r="FIX4751" s="696"/>
      <c r="FIY4751" s="693"/>
      <c r="FIZ4751" s="696"/>
      <c r="FJA4751" s="693"/>
      <c r="FJB4751" s="696"/>
      <c r="FJC4751" s="693"/>
      <c r="FJD4751" s="696"/>
      <c r="FJE4751" s="693"/>
      <c r="FJF4751" s="696"/>
      <c r="FJG4751" s="693"/>
      <c r="FJH4751" s="696"/>
      <c r="FJI4751" s="693"/>
      <c r="FJJ4751" s="696"/>
      <c r="FJK4751" s="693"/>
      <c r="FJL4751" s="696"/>
      <c r="FJM4751" s="693"/>
      <c r="FJN4751" s="696"/>
      <c r="FJO4751" s="693"/>
      <c r="FJP4751" s="696"/>
      <c r="FJQ4751" s="693"/>
      <c r="FJR4751" s="696"/>
      <c r="FJS4751" s="693"/>
      <c r="FJT4751" s="696"/>
      <c r="FJU4751" s="693"/>
      <c r="FJV4751" s="696"/>
      <c r="FJW4751" s="693"/>
      <c r="FJX4751" s="696"/>
      <c r="FJY4751" s="693"/>
      <c r="FJZ4751" s="696"/>
      <c r="FKA4751" s="693"/>
      <c r="FKB4751" s="696"/>
      <c r="FKC4751" s="693"/>
      <c r="FKD4751" s="696"/>
      <c r="FKE4751" s="693"/>
      <c r="FKF4751" s="696"/>
      <c r="FKG4751" s="693"/>
      <c r="FKH4751" s="696"/>
      <c r="FKI4751" s="693"/>
      <c r="FKJ4751" s="696"/>
      <c r="FKK4751" s="693"/>
      <c r="FKL4751" s="696"/>
      <c r="FKM4751" s="693"/>
      <c r="FKN4751" s="696"/>
      <c r="FKO4751" s="693"/>
      <c r="FKP4751" s="696"/>
      <c r="FKQ4751" s="693"/>
      <c r="FKR4751" s="696"/>
      <c r="FKS4751" s="693"/>
      <c r="FKT4751" s="696"/>
      <c r="FKU4751" s="693"/>
      <c r="FKV4751" s="696"/>
      <c r="FKW4751" s="693"/>
      <c r="FKX4751" s="696"/>
      <c r="FKY4751" s="693"/>
      <c r="FKZ4751" s="696"/>
      <c r="FLA4751" s="693"/>
      <c r="FLB4751" s="696"/>
      <c r="FLC4751" s="693"/>
      <c r="FLD4751" s="696"/>
      <c r="FLE4751" s="693"/>
      <c r="FLF4751" s="696"/>
      <c r="FLG4751" s="693"/>
      <c r="FLH4751" s="696"/>
      <c r="FLI4751" s="693"/>
      <c r="FLJ4751" s="696"/>
      <c r="FLK4751" s="693"/>
      <c r="FLL4751" s="696"/>
      <c r="FLM4751" s="693"/>
      <c r="FLN4751" s="696"/>
      <c r="FLO4751" s="693"/>
      <c r="FLP4751" s="696"/>
      <c r="FLQ4751" s="693"/>
      <c r="FLR4751" s="696"/>
      <c r="FLS4751" s="693"/>
      <c r="FLT4751" s="696"/>
      <c r="FLU4751" s="693"/>
      <c r="FLV4751" s="696"/>
      <c r="FLW4751" s="693"/>
      <c r="FLX4751" s="696"/>
      <c r="FLY4751" s="693"/>
      <c r="FLZ4751" s="696"/>
      <c r="FMA4751" s="693"/>
      <c r="FMB4751" s="696"/>
      <c r="FMC4751" s="693"/>
      <c r="FMD4751" s="696"/>
      <c r="FME4751" s="693"/>
      <c r="FMF4751" s="696"/>
      <c r="FMG4751" s="693"/>
      <c r="FMH4751" s="696"/>
      <c r="FMI4751" s="693"/>
      <c r="FMJ4751" s="696"/>
      <c r="FMK4751" s="693"/>
      <c r="FML4751" s="696"/>
      <c r="FMM4751" s="693"/>
      <c r="FMN4751" s="696"/>
      <c r="FMO4751" s="693"/>
      <c r="FMP4751" s="696"/>
      <c r="FMQ4751" s="693"/>
      <c r="FMR4751" s="696"/>
      <c r="FMS4751" s="693"/>
      <c r="FMT4751" s="696"/>
      <c r="FMU4751" s="693"/>
      <c r="FMV4751" s="696"/>
      <c r="FMW4751" s="693"/>
      <c r="FMX4751" s="696"/>
      <c r="FMY4751" s="693"/>
      <c r="FMZ4751" s="696"/>
      <c r="FNA4751" s="693"/>
      <c r="FNB4751" s="696"/>
      <c r="FNC4751" s="693"/>
      <c r="FND4751" s="696"/>
      <c r="FNE4751" s="693"/>
      <c r="FNF4751" s="696"/>
      <c r="FNG4751" s="693"/>
      <c r="FNH4751" s="696"/>
      <c r="FNI4751" s="693"/>
      <c r="FNJ4751" s="696"/>
      <c r="FNK4751" s="693"/>
      <c r="FNL4751" s="696"/>
      <c r="FNM4751" s="693"/>
      <c r="FNN4751" s="696"/>
      <c r="FNO4751" s="693"/>
      <c r="FNP4751" s="696"/>
      <c r="FNQ4751" s="693"/>
      <c r="FNR4751" s="696"/>
      <c r="FNS4751" s="693"/>
      <c r="FNT4751" s="696"/>
      <c r="FNU4751" s="693"/>
      <c r="FNV4751" s="696"/>
      <c r="FNW4751" s="693"/>
      <c r="FNX4751" s="696"/>
      <c r="FNY4751" s="693"/>
      <c r="FNZ4751" s="696"/>
      <c r="FOA4751" s="693"/>
      <c r="FOB4751" s="696"/>
      <c r="FOC4751" s="693"/>
      <c r="FOD4751" s="696"/>
      <c r="FOE4751" s="693"/>
      <c r="FOF4751" s="696"/>
      <c r="FOG4751" s="693"/>
      <c r="FOH4751" s="696"/>
      <c r="FOI4751" s="693"/>
      <c r="FOJ4751" s="696"/>
      <c r="FOK4751" s="693"/>
      <c r="FOL4751" s="696"/>
      <c r="FOM4751" s="693"/>
      <c r="FON4751" s="696"/>
      <c r="FOO4751" s="693"/>
      <c r="FOP4751" s="696"/>
      <c r="FOQ4751" s="693"/>
      <c r="FOR4751" s="696"/>
      <c r="FOS4751" s="693"/>
      <c r="FOT4751" s="696"/>
      <c r="FOU4751" s="693"/>
      <c r="FOV4751" s="696"/>
      <c r="FOW4751" s="693"/>
      <c r="FOX4751" s="696"/>
      <c r="FOY4751" s="693"/>
      <c r="FOZ4751" s="696"/>
      <c r="FPA4751" s="693"/>
      <c r="FPB4751" s="696"/>
      <c r="FPC4751" s="693"/>
      <c r="FPD4751" s="696"/>
      <c r="FPE4751" s="693"/>
      <c r="FPF4751" s="696"/>
      <c r="FPG4751" s="693"/>
      <c r="FPH4751" s="696"/>
      <c r="FPI4751" s="693"/>
      <c r="FPJ4751" s="696"/>
      <c r="FPK4751" s="693"/>
      <c r="FPL4751" s="696"/>
      <c r="FPM4751" s="693"/>
      <c r="FPN4751" s="696"/>
      <c r="FPO4751" s="693"/>
      <c r="FPP4751" s="696"/>
      <c r="FPQ4751" s="693"/>
      <c r="FPR4751" s="696"/>
      <c r="FPS4751" s="693"/>
      <c r="FPT4751" s="696"/>
      <c r="FPU4751" s="693"/>
      <c r="FPV4751" s="696"/>
      <c r="FPW4751" s="693"/>
      <c r="FPX4751" s="696"/>
      <c r="FPY4751" s="693"/>
      <c r="FPZ4751" s="696"/>
      <c r="FQA4751" s="693"/>
      <c r="FQB4751" s="696"/>
      <c r="FQC4751" s="693"/>
      <c r="FQD4751" s="696"/>
      <c r="FQE4751" s="693"/>
      <c r="FQF4751" s="696"/>
      <c r="FQG4751" s="693"/>
      <c r="FQH4751" s="696"/>
      <c r="FQI4751" s="693"/>
      <c r="FQJ4751" s="696"/>
      <c r="FQK4751" s="693"/>
      <c r="FQL4751" s="696"/>
      <c r="FQM4751" s="693"/>
      <c r="FQN4751" s="696"/>
      <c r="FQO4751" s="693"/>
      <c r="FQP4751" s="696"/>
      <c r="FQQ4751" s="693"/>
      <c r="FQR4751" s="696"/>
      <c r="FQS4751" s="693"/>
      <c r="FQT4751" s="696"/>
      <c r="FQU4751" s="693"/>
      <c r="FQV4751" s="696"/>
      <c r="FQW4751" s="693"/>
      <c r="FQX4751" s="696"/>
      <c r="FQY4751" s="693"/>
      <c r="FQZ4751" s="696"/>
      <c r="FRA4751" s="693"/>
      <c r="FRB4751" s="696"/>
      <c r="FRC4751" s="693"/>
      <c r="FRD4751" s="696"/>
      <c r="FRE4751" s="693"/>
      <c r="FRF4751" s="696"/>
      <c r="FRG4751" s="693"/>
      <c r="FRH4751" s="696"/>
      <c r="FRI4751" s="693"/>
      <c r="FRJ4751" s="696"/>
      <c r="FRK4751" s="693"/>
      <c r="FRL4751" s="696"/>
      <c r="FRM4751" s="693"/>
      <c r="FRN4751" s="696"/>
      <c r="FRO4751" s="693"/>
      <c r="FRP4751" s="696"/>
      <c r="FRQ4751" s="693"/>
      <c r="FRR4751" s="696"/>
      <c r="FRS4751" s="693"/>
      <c r="FRT4751" s="696"/>
      <c r="FRU4751" s="693"/>
      <c r="FRV4751" s="696"/>
      <c r="FRW4751" s="693"/>
      <c r="FRX4751" s="696"/>
      <c r="FRY4751" s="693"/>
      <c r="FRZ4751" s="696"/>
      <c r="FSA4751" s="693"/>
      <c r="FSB4751" s="696"/>
      <c r="FSC4751" s="693"/>
      <c r="FSD4751" s="696"/>
      <c r="FSE4751" s="693"/>
      <c r="FSF4751" s="696"/>
      <c r="FSG4751" s="693"/>
      <c r="FSH4751" s="696"/>
      <c r="FSI4751" s="693"/>
      <c r="FSJ4751" s="696"/>
      <c r="FSK4751" s="693"/>
      <c r="FSL4751" s="696"/>
      <c r="FSM4751" s="693"/>
      <c r="FSN4751" s="696"/>
      <c r="FSO4751" s="693"/>
      <c r="FSP4751" s="696"/>
      <c r="FSQ4751" s="693"/>
      <c r="FSR4751" s="696"/>
      <c r="FSS4751" s="693"/>
      <c r="FST4751" s="696"/>
      <c r="FSU4751" s="693"/>
      <c r="FSV4751" s="696"/>
      <c r="FSW4751" s="693"/>
      <c r="FSX4751" s="696"/>
      <c r="FSY4751" s="693"/>
      <c r="FSZ4751" s="696"/>
      <c r="FTA4751" s="693"/>
      <c r="FTB4751" s="696"/>
      <c r="FTC4751" s="693"/>
      <c r="FTD4751" s="696"/>
      <c r="FTE4751" s="693"/>
      <c r="FTF4751" s="696"/>
      <c r="FTG4751" s="693"/>
      <c r="FTH4751" s="696"/>
      <c r="FTI4751" s="693"/>
      <c r="FTJ4751" s="696"/>
      <c r="FTK4751" s="693"/>
      <c r="FTL4751" s="696"/>
      <c r="FTM4751" s="693"/>
      <c r="FTN4751" s="696"/>
      <c r="FTO4751" s="693"/>
      <c r="FTP4751" s="696"/>
      <c r="FTQ4751" s="693"/>
      <c r="FTR4751" s="696"/>
      <c r="FTS4751" s="693"/>
      <c r="FTT4751" s="696"/>
      <c r="FTU4751" s="693"/>
      <c r="FTV4751" s="696"/>
      <c r="FTW4751" s="693"/>
      <c r="FTX4751" s="696"/>
      <c r="FTY4751" s="693"/>
      <c r="FTZ4751" s="696"/>
      <c r="FUA4751" s="693"/>
      <c r="FUB4751" s="696"/>
      <c r="FUC4751" s="693"/>
      <c r="FUD4751" s="696"/>
      <c r="FUE4751" s="693"/>
      <c r="FUF4751" s="696"/>
      <c r="FUG4751" s="693"/>
      <c r="FUH4751" s="696"/>
      <c r="FUI4751" s="693"/>
      <c r="FUJ4751" s="696"/>
      <c r="FUK4751" s="693"/>
      <c r="FUL4751" s="696"/>
      <c r="FUM4751" s="693"/>
      <c r="FUN4751" s="696"/>
      <c r="FUO4751" s="693"/>
      <c r="FUP4751" s="696"/>
      <c r="FUQ4751" s="693"/>
      <c r="FUR4751" s="696"/>
      <c r="FUS4751" s="693"/>
      <c r="FUT4751" s="696"/>
      <c r="FUU4751" s="693"/>
      <c r="FUV4751" s="696"/>
      <c r="FUW4751" s="693"/>
      <c r="FUX4751" s="696"/>
      <c r="FUY4751" s="693"/>
      <c r="FUZ4751" s="696"/>
      <c r="FVA4751" s="693"/>
      <c r="FVB4751" s="696"/>
      <c r="FVC4751" s="693"/>
      <c r="FVD4751" s="696"/>
      <c r="FVE4751" s="693"/>
      <c r="FVF4751" s="696"/>
      <c r="FVG4751" s="693"/>
      <c r="FVH4751" s="696"/>
      <c r="FVI4751" s="693"/>
      <c r="FVJ4751" s="696"/>
      <c r="FVK4751" s="693"/>
      <c r="FVL4751" s="696"/>
      <c r="FVM4751" s="693"/>
      <c r="FVN4751" s="696"/>
      <c r="FVO4751" s="693"/>
      <c r="FVP4751" s="696"/>
      <c r="FVQ4751" s="693"/>
      <c r="FVR4751" s="696"/>
      <c r="FVS4751" s="693"/>
      <c r="FVT4751" s="696"/>
      <c r="FVU4751" s="693"/>
      <c r="FVV4751" s="696"/>
      <c r="FVW4751" s="693"/>
      <c r="FVX4751" s="696"/>
      <c r="FVY4751" s="693"/>
      <c r="FVZ4751" s="696"/>
      <c r="FWA4751" s="693"/>
      <c r="FWB4751" s="696"/>
      <c r="FWC4751" s="693"/>
      <c r="FWD4751" s="696"/>
      <c r="FWE4751" s="693"/>
      <c r="FWF4751" s="696"/>
      <c r="FWG4751" s="693"/>
      <c r="FWH4751" s="696"/>
      <c r="FWI4751" s="693"/>
      <c r="FWJ4751" s="696"/>
      <c r="FWK4751" s="693"/>
      <c r="FWL4751" s="696"/>
      <c r="FWM4751" s="693"/>
      <c r="FWN4751" s="696"/>
      <c r="FWO4751" s="693"/>
      <c r="FWP4751" s="696"/>
      <c r="FWQ4751" s="693"/>
      <c r="FWR4751" s="696"/>
      <c r="FWS4751" s="693"/>
      <c r="FWT4751" s="696"/>
      <c r="FWU4751" s="693"/>
      <c r="FWV4751" s="696"/>
      <c r="FWW4751" s="693"/>
      <c r="FWX4751" s="696"/>
      <c r="FWY4751" s="693"/>
      <c r="FWZ4751" s="696"/>
      <c r="FXA4751" s="693"/>
      <c r="FXB4751" s="696"/>
      <c r="FXC4751" s="693"/>
      <c r="FXD4751" s="696"/>
      <c r="FXE4751" s="693"/>
      <c r="FXF4751" s="696"/>
      <c r="FXG4751" s="693"/>
      <c r="FXH4751" s="696"/>
      <c r="FXI4751" s="693"/>
      <c r="FXJ4751" s="696"/>
      <c r="FXK4751" s="693"/>
      <c r="FXL4751" s="696"/>
      <c r="FXM4751" s="693"/>
      <c r="FXN4751" s="696"/>
      <c r="FXO4751" s="693"/>
      <c r="FXP4751" s="696"/>
      <c r="FXQ4751" s="693"/>
      <c r="FXR4751" s="696"/>
      <c r="FXS4751" s="693"/>
      <c r="FXT4751" s="696"/>
      <c r="FXU4751" s="693"/>
      <c r="FXV4751" s="696"/>
      <c r="FXW4751" s="693"/>
      <c r="FXX4751" s="696"/>
      <c r="FXY4751" s="693"/>
      <c r="FXZ4751" s="696"/>
      <c r="FYA4751" s="693"/>
      <c r="FYB4751" s="696"/>
      <c r="FYC4751" s="693"/>
      <c r="FYD4751" s="696"/>
      <c r="FYE4751" s="693"/>
      <c r="FYF4751" s="696"/>
      <c r="FYG4751" s="693"/>
      <c r="FYH4751" s="696"/>
      <c r="FYI4751" s="693"/>
      <c r="FYJ4751" s="696"/>
      <c r="FYK4751" s="693"/>
      <c r="FYL4751" s="696"/>
      <c r="FYM4751" s="693"/>
      <c r="FYN4751" s="696"/>
      <c r="FYO4751" s="693"/>
      <c r="FYP4751" s="696"/>
      <c r="FYQ4751" s="693"/>
      <c r="FYR4751" s="696"/>
      <c r="FYS4751" s="693"/>
      <c r="FYT4751" s="696"/>
      <c r="FYU4751" s="693"/>
      <c r="FYV4751" s="696"/>
      <c r="FYW4751" s="693"/>
      <c r="FYX4751" s="696"/>
      <c r="FYY4751" s="693"/>
      <c r="FYZ4751" s="696"/>
      <c r="FZA4751" s="693"/>
      <c r="FZB4751" s="696"/>
      <c r="FZC4751" s="693"/>
      <c r="FZD4751" s="696"/>
      <c r="FZE4751" s="693"/>
      <c r="FZF4751" s="696"/>
      <c r="FZG4751" s="693"/>
      <c r="FZH4751" s="696"/>
      <c r="FZI4751" s="693"/>
      <c r="FZJ4751" s="696"/>
      <c r="FZK4751" s="693"/>
      <c r="FZL4751" s="696"/>
      <c r="FZM4751" s="693"/>
      <c r="FZN4751" s="696"/>
      <c r="FZO4751" s="693"/>
      <c r="FZP4751" s="696"/>
      <c r="FZQ4751" s="693"/>
      <c r="FZR4751" s="696"/>
      <c r="FZS4751" s="693"/>
      <c r="FZT4751" s="696"/>
      <c r="FZU4751" s="693"/>
      <c r="FZV4751" s="696"/>
      <c r="FZW4751" s="693"/>
      <c r="FZX4751" s="696"/>
      <c r="FZY4751" s="693"/>
      <c r="FZZ4751" s="696"/>
      <c r="GAA4751" s="693"/>
      <c r="GAB4751" s="696"/>
      <c r="GAC4751" s="693"/>
      <c r="GAD4751" s="696"/>
      <c r="GAE4751" s="693"/>
      <c r="GAF4751" s="696"/>
      <c r="GAG4751" s="693"/>
      <c r="GAH4751" s="696"/>
      <c r="GAI4751" s="693"/>
      <c r="GAJ4751" s="696"/>
      <c r="GAK4751" s="693"/>
      <c r="GAL4751" s="696"/>
      <c r="GAM4751" s="693"/>
      <c r="GAN4751" s="696"/>
      <c r="GAO4751" s="693"/>
      <c r="GAP4751" s="696"/>
      <c r="GAQ4751" s="693"/>
      <c r="GAR4751" s="696"/>
      <c r="GAS4751" s="693"/>
      <c r="GAT4751" s="696"/>
      <c r="GAU4751" s="693"/>
      <c r="GAV4751" s="696"/>
      <c r="GAW4751" s="693"/>
      <c r="GAX4751" s="696"/>
      <c r="GAY4751" s="693"/>
      <c r="GAZ4751" s="696"/>
      <c r="GBA4751" s="693"/>
      <c r="GBB4751" s="696"/>
      <c r="GBC4751" s="693"/>
      <c r="GBD4751" s="696"/>
      <c r="GBE4751" s="693"/>
      <c r="GBF4751" s="696"/>
      <c r="GBG4751" s="693"/>
      <c r="GBH4751" s="696"/>
      <c r="GBI4751" s="693"/>
      <c r="GBJ4751" s="696"/>
      <c r="GBK4751" s="693"/>
      <c r="GBL4751" s="696"/>
      <c r="GBM4751" s="693"/>
      <c r="GBN4751" s="696"/>
      <c r="GBO4751" s="693"/>
      <c r="GBP4751" s="696"/>
      <c r="GBQ4751" s="693"/>
      <c r="GBR4751" s="696"/>
      <c r="GBS4751" s="693"/>
      <c r="GBT4751" s="696"/>
      <c r="GBU4751" s="693"/>
      <c r="GBV4751" s="696"/>
      <c r="GBW4751" s="693"/>
      <c r="GBX4751" s="696"/>
      <c r="GBY4751" s="693"/>
      <c r="GBZ4751" s="696"/>
      <c r="GCA4751" s="693"/>
      <c r="GCB4751" s="696"/>
      <c r="GCC4751" s="693"/>
      <c r="GCD4751" s="696"/>
      <c r="GCE4751" s="693"/>
      <c r="GCF4751" s="696"/>
      <c r="GCG4751" s="693"/>
      <c r="GCH4751" s="696"/>
      <c r="GCI4751" s="693"/>
      <c r="GCJ4751" s="696"/>
      <c r="GCK4751" s="693"/>
      <c r="GCL4751" s="696"/>
      <c r="GCM4751" s="693"/>
      <c r="GCN4751" s="696"/>
      <c r="GCO4751" s="693"/>
      <c r="GCP4751" s="696"/>
      <c r="GCQ4751" s="693"/>
      <c r="GCR4751" s="696"/>
      <c r="GCS4751" s="693"/>
      <c r="GCT4751" s="696"/>
      <c r="GCU4751" s="693"/>
      <c r="GCV4751" s="696"/>
      <c r="GCW4751" s="693"/>
      <c r="GCX4751" s="696"/>
      <c r="GCY4751" s="693"/>
      <c r="GCZ4751" s="696"/>
      <c r="GDA4751" s="693"/>
      <c r="GDB4751" s="696"/>
      <c r="GDC4751" s="693"/>
      <c r="GDD4751" s="696"/>
      <c r="GDE4751" s="693"/>
      <c r="GDF4751" s="696"/>
      <c r="GDG4751" s="693"/>
      <c r="GDH4751" s="696"/>
      <c r="GDI4751" s="693"/>
      <c r="GDJ4751" s="696"/>
      <c r="GDK4751" s="693"/>
      <c r="GDL4751" s="696"/>
      <c r="GDM4751" s="693"/>
      <c r="GDN4751" s="696"/>
      <c r="GDO4751" s="693"/>
      <c r="GDP4751" s="696"/>
      <c r="GDQ4751" s="693"/>
      <c r="GDR4751" s="696"/>
      <c r="GDS4751" s="693"/>
      <c r="GDT4751" s="696"/>
      <c r="GDU4751" s="693"/>
      <c r="GDV4751" s="696"/>
      <c r="GDW4751" s="693"/>
      <c r="GDX4751" s="696"/>
      <c r="GDY4751" s="693"/>
      <c r="GDZ4751" s="696"/>
      <c r="GEA4751" s="693"/>
      <c r="GEB4751" s="696"/>
      <c r="GEC4751" s="693"/>
      <c r="GED4751" s="696"/>
      <c r="GEE4751" s="693"/>
      <c r="GEF4751" s="696"/>
      <c r="GEG4751" s="693"/>
      <c r="GEH4751" s="696"/>
      <c r="GEI4751" s="693"/>
      <c r="GEJ4751" s="696"/>
      <c r="GEK4751" s="693"/>
      <c r="GEL4751" s="696"/>
      <c r="GEM4751" s="693"/>
      <c r="GEN4751" s="696"/>
      <c r="GEO4751" s="693"/>
      <c r="GEP4751" s="696"/>
      <c r="GEQ4751" s="693"/>
      <c r="GER4751" s="696"/>
      <c r="GES4751" s="693"/>
      <c r="GET4751" s="696"/>
      <c r="GEU4751" s="693"/>
      <c r="GEV4751" s="696"/>
      <c r="GEW4751" s="693"/>
      <c r="GEX4751" s="696"/>
      <c r="GEY4751" s="693"/>
      <c r="GEZ4751" s="696"/>
      <c r="GFA4751" s="693"/>
      <c r="GFB4751" s="696"/>
      <c r="GFC4751" s="693"/>
      <c r="GFD4751" s="696"/>
      <c r="GFE4751" s="693"/>
      <c r="GFF4751" s="696"/>
      <c r="GFG4751" s="693"/>
      <c r="GFH4751" s="696"/>
      <c r="GFI4751" s="693"/>
      <c r="GFJ4751" s="696"/>
      <c r="GFK4751" s="693"/>
      <c r="GFL4751" s="696"/>
      <c r="GFM4751" s="693"/>
      <c r="GFN4751" s="696"/>
      <c r="GFO4751" s="693"/>
      <c r="GFP4751" s="696"/>
      <c r="GFQ4751" s="693"/>
      <c r="GFR4751" s="696"/>
      <c r="GFS4751" s="693"/>
      <c r="GFT4751" s="696"/>
      <c r="GFU4751" s="693"/>
      <c r="GFV4751" s="696"/>
      <c r="GFW4751" s="693"/>
      <c r="GFX4751" s="696"/>
      <c r="GFY4751" s="693"/>
      <c r="GFZ4751" s="696"/>
      <c r="GGA4751" s="693"/>
      <c r="GGB4751" s="696"/>
      <c r="GGC4751" s="693"/>
      <c r="GGD4751" s="696"/>
      <c r="GGE4751" s="693"/>
      <c r="GGF4751" s="696"/>
      <c r="GGG4751" s="693"/>
      <c r="GGH4751" s="696"/>
      <c r="GGI4751" s="693"/>
      <c r="GGJ4751" s="696"/>
      <c r="GGK4751" s="693"/>
      <c r="GGL4751" s="696"/>
      <c r="GGM4751" s="693"/>
      <c r="GGN4751" s="696"/>
      <c r="GGO4751" s="693"/>
      <c r="GGP4751" s="696"/>
      <c r="GGQ4751" s="693"/>
      <c r="GGR4751" s="696"/>
      <c r="GGS4751" s="693"/>
      <c r="GGT4751" s="696"/>
      <c r="GGU4751" s="693"/>
      <c r="GGV4751" s="696"/>
      <c r="GGW4751" s="693"/>
      <c r="GGX4751" s="696"/>
      <c r="GGY4751" s="693"/>
      <c r="GGZ4751" s="696"/>
      <c r="GHA4751" s="693"/>
      <c r="GHB4751" s="696"/>
      <c r="GHC4751" s="693"/>
      <c r="GHD4751" s="696"/>
      <c r="GHE4751" s="693"/>
      <c r="GHF4751" s="696"/>
      <c r="GHG4751" s="693"/>
      <c r="GHH4751" s="696"/>
      <c r="GHI4751" s="693"/>
      <c r="GHJ4751" s="696"/>
      <c r="GHK4751" s="693"/>
      <c r="GHL4751" s="696"/>
      <c r="GHM4751" s="693"/>
      <c r="GHN4751" s="696"/>
      <c r="GHO4751" s="693"/>
      <c r="GHP4751" s="696"/>
      <c r="GHQ4751" s="693"/>
      <c r="GHR4751" s="696"/>
      <c r="GHS4751" s="693"/>
      <c r="GHT4751" s="696"/>
      <c r="GHU4751" s="693"/>
      <c r="GHV4751" s="696"/>
      <c r="GHW4751" s="693"/>
      <c r="GHX4751" s="696"/>
      <c r="GHY4751" s="693"/>
      <c r="GHZ4751" s="696"/>
      <c r="GIA4751" s="693"/>
      <c r="GIB4751" s="696"/>
      <c r="GIC4751" s="693"/>
      <c r="GID4751" s="696"/>
      <c r="GIE4751" s="693"/>
      <c r="GIF4751" s="696"/>
      <c r="GIG4751" s="693"/>
      <c r="GIH4751" s="696"/>
      <c r="GII4751" s="693"/>
      <c r="GIJ4751" s="696"/>
      <c r="GIK4751" s="693"/>
      <c r="GIL4751" s="696"/>
      <c r="GIM4751" s="693"/>
      <c r="GIN4751" s="696"/>
      <c r="GIO4751" s="693"/>
      <c r="GIP4751" s="696"/>
      <c r="GIQ4751" s="693"/>
      <c r="GIR4751" s="696"/>
      <c r="GIS4751" s="693"/>
      <c r="GIT4751" s="696"/>
      <c r="GIU4751" s="693"/>
      <c r="GIV4751" s="696"/>
      <c r="GIW4751" s="693"/>
      <c r="GIX4751" s="696"/>
      <c r="GIY4751" s="693"/>
      <c r="GIZ4751" s="696"/>
      <c r="GJA4751" s="693"/>
      <c r="GJB4751" s="696"/>
      <c r="GJC4751" s="693"/>
      <c r="GJD4751" s="696"/>
      <c r="GJE4751" s="693"/>
      <c r="GJF4751" s="696"/>
      <c r="GJG4751" s="693"/>
      <c r="GJH4751" s="696"/>
      <c r="GJI4751" s="693"/>
      <c r="GJJ4751" s="696"/>
      <c r="GJK4751" s="693"/>
      <c r="GJL4751" s="696"/>
      <c r="GJM4751" s="693"/>
      <c r="GJN4751" s="696"/>
      <c r="GJO4751" s="693"/>
      <c r="GJP4751" s="696"/>
      <c r="GJQ4751" s="693"/>
      <c r="GJR4751" s="696"/>
      <c r="GJS4751" s="693"/>
      <c r="GJT4751" s="696"/>
      <c r="GJU4751" s="693"/>
      <c r="GJV4751" s="696"/>
      <c r="GJW4751" s="693"/>
      <c r="GJX4751" s="696"/>
      <c r="GJY4751" s="693"/>
      <c r="GJZ4751" s="696"/>
      <c r="GKA4751" s="693"/>
      <c r="GKB4751" s="696"/>
      <c r="GKC4751" s="693"/>
      <c r="GKD4751" s="696"/>
      <c r="GKE4751" s="693"/>
      <c r="GKF4751" s="696"/>
      <c r="GKG4751" s="693"/>
      <c r="GKH4751" s="696"/>
      <c r="GKI4751" s="693"/>
      <c r="GKJ4751" s="696"/>
      <c r="GKK4751" s="693"/>
      <c r="GKL4751" s="696"/>
      <c r="GKM4751" s="693"/>
      <c r="GKN4751" s="696"/>
      <c r="GKO4751" s="693"/>
      <c r="GKP4751" s="696"/>
      <c r="GKQ4751" s="693"/>
      <c r="GKR4751" s="696"/>
      <c r="GKS4751" s="693"/>
      <c r="GKT4751" s="696"/>
      <c r="GKU4751" s="693"/>
      <c r="GKV4751" s="696"/>
      <c r="GKW4751" s="693"/>
      <c r="GKX4751" s="696"/>
      <c r="GKY4751" s="693"/>
      <c r="GKZ4751" s="696"/>
      <c r="GLA4751" s="693"/>
      <c r="GLB4751" s="696"/>
      <c r="GLC4751" s="693"/>
      <c r="GLD4751" s="696"/>
      <c r="GLE4751" s="693"/>
      <c r="GLF4751" s="696"/>
      <c r="GLG4751" s="693"/>
      <c r="GLH4751" s="696"/>
      <c r="GLI4751" s="693"/>
      <c r="GLJ4751" s="696"/>
      <c r="GLK4751" s="693"/>
      <c r="GLL4751" s="696"/>
      <c r="GLM4751" s="693"/>
      <c r="GLN4751" s="696"/>
      <c r="GLO4751" s="693"/>
      <c r="GLP4751" s="696"/>
      <c r="GLQ4751" s="693"/>
      <c r="GLR4751" s="696"/>
      <c r="GLS4751" s="693"/>
      <c r="GLT4751" s="696"/>
      <c r="GLU4751" s="693"/>
      <c r="GLV4751" s="696"/>
      <c r="GLW4751" s="693"/>
      <c r="GLX4751" s="696"/>
      <c r="GLY4751" s="693"/>
      <c r="GLZ4751" s="696"/>
      <c r="GMA4751" s="693"/>
      <c r="GMB4751" s="696"/>
      <c r="GMC4751" s="693"/>
      <c r="GMD4751" s="696"/>
      <c r="GME4751" s="693"/>
      <c r="GMF4751" s="696"/>
      <c r="GMG4751" s="693"/>
      <c r="GMH4751" s="696"/>
      <c r="GMI4751" s="693"/>
      <c r="GMJ4751" s="696"/>
      <c r="GMK4751" s="693"/>
      <c r="GML4751" s="696"/>
      <c r="GMM4751" s="693"/>
      <c r="GMN4751" s="696"/>
      <c r="GMO4751" s="693"/>
      <c r="GMP4751" s="696"/>
      <c r="GMQ4751" s="693"/>
      <c r="GMR4751" s="696"/>
      <c r="GMS4751" s="693"/>
      <c r="GMT4751" s="696"/>
      <c r="GMU4751" s="693"/>
      <c r="GMV4751" s="696"/>
      <c r="GMW4751" s="693"/>
      <c r="GMX4751" s="696"/>
      <c r="GMY4751" s="693"/>
      <c r="GMZ4751" s="696"/>
      <c r="GNA4751" s="693"/>
      <c r="GNB4751" s="696"/>
      <c r="GNC4751" s="693"/>
      <c r="GND4751" s="696"/>
      <c r="GNE4751" s="693"/>
      <c r="GNF4751" s="696"/>
      <c r="GNG4751" s="693"/>
      <c r="GNH4751" s="696"/>
      <c r="GNI4751" s="693"/>
      <c r="GNJ4751" s="696"/>
      <c r="GNK4751" s="693"/>
      <c r="GNL4751" s="696"/>
      <c r="GNM4751" s="693"/>
      <c r="GNN4751" s="696"/>
      <c r="GNO4751" s="693"/>
      <c r="GNP4751" s="696"/>
      <c r="GNQ4751" s="693"/>
      <c r="GNR4751" s="696"/>
      <c r="GNS4751" s="693"/>
      <c r="GNT4751" s="696"/>
      <c r="GNU4751" s="693"/>
      <c r="GNV4751" s="696"/>
      <c r="GNW4751" s="693"/>
      <c r="GNX4751" s="696"/>
      <c r="GNY4751" s="693"/>
      <c r="GNZ4751" s="696"/>
      <c r="GOA4751" s="693"/>
      <c r="GOB4751" s="696"/>
      <c r="GOC4751" s="693"/>
      <c r="GOD4751" s="696"/>
      <c r="GOE4751" s="693"/>
      <c r="GOF4751" s="696"/>
      <c r="GOG4751" s="693"/>
      <c r="GOH4751" s="696"/>
      <c r="GOI4751" s="693"/>
      <c r="GOJ4751" s="696"/>
      <c r="GOK4751" s="693"/>
      <c r="GOL4751" s="696"/>
      <c r="GOM4751" s="693"/>
      <c r="GON4751" s="696"/>
      <c r="GOO4751" s="693"/>
      <c r="GOP4751" s="696"/>
      <c r="GOQ4751" s="693"/>
      <c r="GOR4751" s="696"/>
      <c r="GOS4751" s="693"/>
      <c r="GOT4751" s="696"/>
      <c r="GOU4751" s="693"/>
      <c r="GOV4751" s="696"/>
      <c r="GOW4751" s="693"/>
      <c r="GOX4751" s="696"/>
      <c r="GOY4751" s="693"/>
      <c r="GOZ4751" s="696"/>
      <c r="GPA4751" s="693"/>
      <c r="GPB4751" s="696"/>
      <c r="GPC4751" s="693"/>
      <c r="GPD4751" s="696"/>
      <c r="GPE4751" s="693"/>
      <c r="GPF4751" s="696"/>
      <c r="GPG4751" s="693"/>
      <c r="GPH4751" s="696"/>
      <c r="GPI4751" s="693"/>
      <c r="GPJ4751" s="696"/>
      <c r="GPK4751" s="693"/>
      <c r="GPL4751" s="696"/>
      <c r="GPM4751" s="693"/>
      <c r="GPN4751" s="696"/>
      <c r="GPO4751" s="693"/>
      <c r="GPP4751" s="696"/>
      <c r="GPQ4751" s="693"/>
      <c r="GPR4751" s="696"/>
      <c r="GPS4751" s="693"/>
      <c r="GPT4751" s="696"/>
      <c r="GPU4751" s="693"/>
      <c r="GPV4751" s="696"/>
      <c r="GPW4751" s="693"/>
      <c r="GPX4751" s="696"/>
      <c r="GPY4751" s="693"/>
      <c r="GPZ4751" s="696"/>
      <c r="GQA4751" s="693"/>
      <c r="GQB4751" s="696"/>
      <c r="GQC4751" s="693"/>
      <c r="GQD4751" s="696"/>
      <c r="GQE4751" s="693"/>
      <c r="GQF4751" s="696"/>
      <c r="GQG4751" s="693"/>
      <c r="GQH4751" s="696"/>
      <c r="GQI4751" s="693"/>
      <c r="GQJ4751" s="696"/>
      <c r="GQK4751" s="693"/>
      <c r="GQL4751" s="696"/>
      <c r="GQM4751" s="693"/>
      <c r="GQN4751" s="696"/>
      <c r="GQO4751" s="693"/>
      <c r="GQP4751" s="696"/>
      <c r="GQQ4751" s="693"/>
      <c r="GQR4751" s="696"/>
      <c r="GQS4751" s="693"/>
      <c r="GQT4751" s="696"/>
      <c r="GQU4751" s="693"/>
      <c r="GQV4751" s="696"/>
      <c r="GQW4751" s="693"/>
      <c r="GQX4751" s="696"/>
      <c r="GQY4751" s="693"/>
      <c r="GQZ4751" s="696"/>
      <c r="GRA4751" s="693"/>
      <c r="GRB4751" s="696"/>
      <c r="GRC4751" s="693"/>
      <c r="GRD4751" s="696"/>
      <c r="GRE4751" s="693"/>
      <c r="GRF4751" s="696"/>
      <c r="GRG4751" s="693"/>
      <c r="GRH4751" s="696"/>
      <c r="GRI4751" s="693"/>
      <c r="GRJ4751" s="696"/>
      <c r="GRK4751" s="693"/>
      <c r="GRL4751" s="696"/>
      <c r="GRM4751" s="693"/>
      <c r="GRN4751" s="696"/>
      <c r="GRO4751" s="693"/>
      <c r="GRP4751" s="696"/>
      <c r="GRQ4751" s="693"/>
      <c r="GRR4751" s="696"/>
      <c r="GRS4751" s="693"/>
      <c r="GRT4751" s="696"/>
      <c r="GRU4751" s="693"/>
      <c r="GRV4751" s="696"/>
      <c r="GRW4751" s="693"/>
      <c r="GRX4751" s="696"/>
      <c r="GRY4751" s="693"/>
      <c r="GRZ4751" s="696"/>
      <c r="GSA4751" s="693"/>
      <c r="GSB4751" s="696"/>
      <c r="GSC4751" s="693"/>
      <c r="GSD4751" s="696"/>
      <c r="GSE4751" s="693"/>
      <c r="GSF4751" s="696"/>
      <c r="GSG4751" s="693"/>
      <c r="GSH4751" s="696"/>
      <c r="GSI4751" s="693"/>
      <c r="GSJ4751" s="696"/>
      <c r="GSK4751" s="693"/>
      <c r="GSL4751" s="696"/>
      <c r="GSM4751" s="693"/>
      <c r="GSN4751" s="696"/>
      <c r="GSO4751" s="693"/>
      <c r="GSP4751" s="696"/>
      <c r="GSQ4751" s="693"/>
      <c r="GSR4751" s="696"/>
      <c r="GSS4751" s="693"/>
      <c r="GST4751" s="696"/>
      <c r="GSU4751" s="693"/>
      <c r="GSV4751" s="696"/>
      <c r="GSW4751" s="693"/>
      <c r="GSX4751" s="696"/>
      <c r="GSY4751" s="693"/>
      <c r="GSZ4751" s="696"/>
      <c r="GTA4751" s="693"/>
      <c r="GTB4751" s="696"/>
      <c r="GTC4751" s="693"/>
      <c r="GTD4751" s="696"/>
      <c r="GTE4751" s="693"/>
      <c r="GTF4751" s="696"/>
      <c r="GTG4751" s="693"/>
      <c r="GTH4751" s="696"/>
      <c r="GTI4751" s="693"/>
      <c r="GTJ4751" s="696"/>
      <c r="GTK4751" s="693"/>
      <c r="GTL4751" s="696"/>
      <c r="GTM4751" s="693"/>
      <c r="GTN4751" s="696"/>
      <c r="GTO4751" s="693"/>
      <c r="GTP4751" s="696"/>
      <c r="GTQ4751" s="693"/>
      <c r="GTR4751" s="696"/>
      <c r="GTS4751" s="693"/>
      <c r="GTT4751" s="696"/>
      <c r="GTU4751" s="693"/>
      <c r="GTV4751" s="696"/>
      <c r="GTW4751" s="693"/>
      <c r="GTX4751" s="696"/>
      <c r="GTY4751" s="693"/>
      <c r="GTZ4751" s="696"/>
      <c r="GUA4751" s="693"/>
      <c r="GUB4751" s="696"/>
      <c r="GUC4751" s="693"/>
      <c r="GUD4751" s="696"/>
      <c r="GUE4751" s="693"/>
      <c r="GUF4751" s="696"/>
      <c r="GUG4751" s="693"/>
      <c r="GUH4751" s="696"/>
      <c r="GUI4751" s="693"/>
      <c r="GUJ4751" s="696"/>
      <c r="GUK4751" s="693"/>
      <c r="GUL4751" s="696"/>
      <c r="GUM4751" s="693"/>
      <c r="GUN4751" s="696"/>
      <c r="GUO4751" s="693"/>
      <c r="GUP4751" s="696"/>
      <c r="GUQ4751" s="693"/>
      <c r="GUR4751" s="696"/>
      <c r="GUS4751" s="693"/>
      <c r="GUT4751" s="696"/>
      <c r="GUU4751" s="693"/>
      <c r="GUV4751" s="696"/>
      <c r="GUW4751" s="693"/>
      <c r="GUX4751" s="696"/>
      <c r="GUY4751" s="693"/>
      <c r="GUZ4751" s="696"/>
      <c r="GVA4751" s="693"/>
      <c r="GVB4751" s="696"/>
      <c r="GVC4751" s="693"/>
      <c r="GVD4751" s="696"/>
      <c r="GVE4751" s="693"/>
      <c r="GVF4751" s="696"/>
      <c r="GVG4751" s="693"/>
      <c r="GVH4751" s="696"/>
      <c r="GVI4751" s="693"/>
      <c r="GVJ4751" s="696"/>
      <c r="GVK4751" s="693"/>
      <c r="GVL4751" s="696"/>
      <c r="GVM4751" s="693"/>
      <c r="GVN4751" s="696"/>
      <c r="GVO4751" s="693"/>
      <c r="GVP4751" s="696"/>
      <c r="GVQ4751" s="693"/>
      <c r="GVR4751" s="696"/>
      <c r="GVS4751" s="693"/>
      <c r="GVT4751" s="696"/>
      <c r="GVU4751" s="693"/>
      <c r="GVV4751" s="696"/>
      <c r="GVW4751" s="693"/>
      <c r="GVX4751" s="696"/>
      <c r="GVY4751" s="693"/>
      <c r="GVZ4751" s="696"/>
      <c r="GWA4751" s="693"/>
      <c r="GWB4751" s="696"/>
      <c r="GWC4751" s="693"/>
      <c r="GWD4751" s="696"/>
      <c r="GWE4751" s="693"/>
      <c r="GWF4751" s="696"/>
      <c r="GWG4751" s="693"/>
      <c r="GWH4751" s="696"/>
      <c r="GWI4751" s="693"/>
      <c r="GWJ4751" s="696"/>
      <c r="GWK4751" s="693"/>
      <c r="GWL4751" s="696"/>
      <c r="GWM4751" s="693"/>
      <c r="GWN4751" s="696"/>
      <c r="GWO4751" s="693"/>
      <c r="GWP4751" s="696"/>
      <c r="GWQ4751" s="693"/>
      <c r="GWR4751" s="696"/>
      <c r="GWS4751" s="693"/>
      <c r="GWT4751" s="696"/>
      <c r="GWU4751" s="693"/>
      <c r="GWV4751" s="696"/>
      <c r="GWW4751" s="693"/>
      <c r="GWX4751" s="696"/>
      <c r="GWY4751" s="693"/>
      <c r="GWZ4751" s="696"/>
      <c r="GXA4751" s="693"/>
      <c r="GXB4751" s="696"/>
      <c r="GXC4751" s="693"/>
      <c r="GXD4751" s="696"/>
      <c r="GXE4751" s="693"/>
      <c r="GXF4751" s="696"/>
      <c r="GXG4751" s="693"/>
      <c r="GXH4751" s="696"/>
      <c r="GXI4751" s="693"/>
      <c r="GXJ4751" s="696"/>
      <c r="GXK4751" s="693"/>
      <c r="GXL4751" s="696"/>
      <c r="GXM4751" s="693"/>
      <c r="GXN4751" s="696"/>
      <c r="GXO4751" s="693"/>
      <c r="GXP4751" s="696"/>
      <c r="GXQ4751" s="693"/>
      <c r="GXR4751" s="696"/>
      <c r="GXS4751" s="693"/>
      <c r="GXT4751" s="696"/>
      <c r="GXU4751" s="693"/>
      <c r="GXV4751" s="696"/>
      <c r="GXW4751" s="693"/>
      <c r="GXX4751" s="696"/>
      <c r="GXY4751" s="693"/>
      <c r="GXZ4751" s="696"/>
      <c r="GYA4751" s="693"/>
      <c r="GYB4751" s="696"/>
      <c r="GYC4751" s="693"/>
      <c r="GYD4751" s="696"/>
      <c r="GYE4751" s="693"/>
      <c r="GYF4751" s="696"/>
      <c r="GYG4751" s="693"/>
      <c r="GYH4751" s="696"/>
      <c r="GYI4751" s="693"/>
      <c r="GYJ4751" s="696"/>
      <c r="GYK4751" s="693"/>
      <c r="GYL4751" s="696"/>
      <c r="GYM4751" s="693"/>
      <c r="GYN4751" s="696"/>
      <c r="GYO4751" s="693"/>
      <c r="GYP4751" s="696"/>
      <c r="GYQ4751" s="693"/>
      <c r="GYR4751" s="696"/>
      <c r="GYS4751" s="693"/>
      <c r="GYT4751" s="696"/>
      <c r="GYU4751" s="693"/>
      <c r="GYV4751" s="696"/>
      <c r="GYW4751" s="693"/>
      <c r="GYX4751" s="696"/>
      <c r="GYY4751" s="693"/>
      <c r="GYZ4751" s="696"/>
      <c r="GZA4751" s="693"/>
      <c r="GZB4751" s="696"/>
      <c r="GZC4751" s="693"/>
      <c r="GZD4751" s="696"/>
      <c r="GZE4751" s="693"/>
      <c r="GZF4751" s="696"/>
      <c r="GZG4751" s="693"/>
      <c r="GZH4751" s="696"/>
      <c r="GZI4751" s="693"/>
      <c r="GZJ4751" s="696"/>
      <c r="GZK4751" s="693"/>
      <c r="GZL4751" s="696"/>
      <c r="GZM4751" s="693"/>
      <c r="GZN4751" s="696"/>
      <c r="GZO4751" s="693"/>
      <c r="GZP4751" s="696"/>
      <c r="GZQ4751" s="693"/>
      <c r="GZR4751" s="696"/>
      <c r="GZS4751" s="693"/>
      <c r="GZT4751" s="696"/>
      <c r="GZU4751" s="693"/>
      <c r="GZV4751" s="696"/>
      <c r="GZW4751" s="693"/>
      <c r="GZX4751" s="696"/>
      <c r="GZY4751" s="693"/>
      <c r="GZZ4751" s="696"/>
      <c r="HAA4751" s="693"/>
      <c r="HAB4751" s="696"/>
      <c r="HAC4751" s="693"/>
      <c r="HAD4751" s="696"/>
      <c r="HAE4751" s="693"/>
      <c r="HAF4751" s="696"/>
      <c r="HAG4751" s="693"/>
      <c r="HAH4751" s="696"/>
      <c r="HAI4751" s="693"/>
      <c r="HAJ4751" s="696"/>
      <c r="HAK4751" s="693"/>
      <c r="HAL4751" s="696"/>
      <c r="HAM4751" s="693"/>
      <c r="HAN4751" s="696"/>
      <c r="HAO4751" s="693"/>
      <c r="HAP4751" s="696"/>
      <c r="HAQ4751" s="693"/>
      <c r="HAR4751" s="696"/>
      <c r="HAS4751" s="693"/>
      <c r="HAT4751" s="696"/>
      <c r="HAU4751" s="693"/>
      <c r="HAV4751" s="696"/>
      <c r="HAW4751" s="693"/>
      <c r="HAX4751" s="696"/>
      <c r="HAY4751" s="693"/>
      <c r="HAZ4751" s="696"/>
      <c r="HBA4751" s="693"/>
      <c r="HBB4751" s="696"/>
      <c r="HBC4751" s="693"/>
      <c r="HBD4751" s="696"/>
      <c r="HBE4751" s="693"/>
      <c r="HBF4751" s="696"/>
      <c r="HBG4751" s="693"/>
      <c r="HBH4751" s="696"/>
      <c r="HBI4751" s="693"/>
      <c r="HBJ4751" s="696"/>
      <c r="HBK4751" s="693"/>
      <c r="HBL4751" s="696"/>
      <c r="HBM4751" s="693"/>
      <c r="HBN4751" s="696"/>
      <c r="HBO4751" s="693"/>
      <c r="HBP4751" s="696"/>
      <c r="HBQ4751" s="693"/>
      <c r="HBR4751" s="696"/>
      <c r="HBS4751" s="693"/>
      <c r="HBT4751" s="696"/>
      <c r="HBU4751" s="693"/>
      <c r="HBV4751" s="696"/>
      <c r="HBW4751" s="693"/>
      <c r="HBX4751" s="696"/>
      <c r="HBY4751" s="693"/>
      <c r="HBZ4751" s="696"/>
      <c r="HCA4751" s="693"/>
      <c r="HCB4751" s="696"/>
      <c r="HCC4751" s="693"/>
      <c r="HCD4751" s="696"/>
      <c r="HCE4751" s="693"/>
      <c r="HCF4751" s="696"/>
      <c r="HCG4751" s="693"/>
      <c r="HCH4751" s="696"/>
      <c r="HCI4751" s="693"/>
      <c r="HCJ4751" s="696"/>
      <c r="HCK4751" s="693"/>
      <c r="HCL4751" s="696"/>
      <c r="HCM4751" s="693"/>
      <c r="HCN4751" s="696"/>
      <c r="HCO4751" s="693"/>
      <c r="HCP4751" s="696"/>
      <c r="HCQ4751" s="693"/>
      <c r="HCR4751" s="696"/>
      <c r="HCS4751" s="693"/>
      <c r="HCT4751" s="696"/>
      <c r="HCU4751" s="693"/>
      <c r="HCV4751" s="696"/>
      <c r="HCW4751" s="693"/>
      <c r="HCX4751" s="696"/>
      <c r="HCY4751" s="693"/>
      <c r="HCZ4751" s="696"/>
      <c r="HDA4751" s="693"/>
      <c r="HDB4751" s="696"/>
      <c r="HDC4751" s="693"/>
      <c r="HDD4751" s="696"/>
      <c r="HDE4751" s="693"/>
      <c r="HDF4751" s="696"/>
      <c r="HDG4751" s="693"/>
      <c r="HDH4751" s="696"/>
      <c r="HDI4751" s="693"/>
      <c r="HDJ4751" s="696"/>
      <c r="HDK4751" s="693"/>
      <c r="HDL4751" s="696"/>
      <c r="HDM4751" s="693"/>
      <c r="HDN4751" s="696"/>
      <c r="HDO4751" s="693"/>
      <c r="HDP4751" s="696"/>
      <c r="HDQ4751" s="693"/>
      <c r="HDR4751" s="696"/>
      <c r="HDS4751" s="693"/>
      <c r="HDT4751" s="696"/>
      <c r="HDU4751" s="693"/>
      <c r="HDV4751" s="696"/>
      <c r="HDW4751" s="693"/>
      <c r="HDX4751" s="696"/>
      <c r="HDY4751" s="693"/>
      <c r="HDZ4751" s="696"/>
      <c r="HEA4751" s="693"/>
      <c r="HEB4751" s="696"/>
      <c r="HEC4751" s="693"/>
      <c r="HED4751" s="696"/>
      <c r="HEE4751" s="693"/>
      <c r="HEF4751" s="696"/>
      <c r="HEG4751" s="693"/>
      <c r="HEH4751" s="696"/>
      <c r="HEI4751" s="693"/>
      <c r="HEJ4751" s="696"/>
      <c r="HEK4751" s="693"/>
      <c r="HEL4751" s="696"/>
      <c r="HEM4751" s="693"/>
      <c r="HEN4751" s="696"/>
      <c r="HEO4751" s="693"/>
      <c r="HEP4751" s="696"/>
      <c r="HEQ4751" s="693"/>
      <c r="HER4751" s="696"/>
      <c r="HES4751" s="693"/>
      <c r="HET4751" s="696"/>
      <c r="HEU4751" s="693"/>
      <c r="HEV4751" s="696"/>
      <c r="HEW4751" s="693"/>
      <c r="HEX4751" s="696"/>
      <c r="HEY4751" s="693"/>
      <c r="HEZ4751" s="696"/>
      <c r="HFA4751" s="693"/>
      <c r="HFB4751" s="696"/>
      <c r="HFC4751" s="693"/>
      <c r="HFD4751" s="696"/>
      <c r="HFE4751" s="693"/>
      <c r="HFF4751" s="696"/>
      <c r="HFG4751" s="693"/>
      <c r="HFH4751" s="696"/>
      <c r="HFI4751" s="693"/>
      <c r="HFJ4751" s="696"/>
      <c r="HFK4751" s="693"/>
      <c r="HFL4751" s="696"/>
      <c r="HFM4751" s="693"/>
      <c r="HFN4751" s="696"/>
      <c r="HFO4751" s="693"/>
      <c r="HFP4751" s="696"/>
      <c r="HFQ4751" s="693"/>
      <c r="HFR4751" s="696"/>
      <c r="HFS4751" s="693"/>
      <c r="HFT4751" s="696"/>
      <c r="HFU4751" s="693"/>
      <c r="HFV4751" s="696"/>
      <c r="HFW4751" s="693"/>
      <c r="HFX4751" s="696"/>
      <c r="HFY4751" s="693"/>
      <c r="HFZ4751" s="696"/>
      <c r="HGA4751" s="693"/>
      <c r="HGB4751" s="696"/>
      <c r="HGC4751" s="693"/>
      <c r="HGD4751" s="696"/>
      <c r="HGE4751" s="693"/>
      <c r="HGF4751" s="696"/>
      <c r="HGG4751" s="693"/>
      <c r="HGH4751" s="696"/>
      <c r="HGI4751" s="693"/>
      <c r="HGJ4751" s="696"/>
      <c r="HGK4751" s="693"/>
      <c r="HGL4751" s="696"/>
      <c r="HGM4751" s="693"/>
      <c r="HGN4751" s="696"/>
      <c r="HGO4751" s="693"/>
      <c r="HGP4751" s="696"/>
      <c r="HGQ4751" s="693"/>
      <c r="HGR4751" s="696"/>
      <c r="HGS4751" s="693"/>
      <c r="HGT4751" s="696"/>
      <c r="HGU4751" s="693"/>
      <c r="HGV4751" s="696"/>
      <c r="HGW4751" s="693"/>
      <c r="HGX4751" s="696"/>
      <c r="HGY4751" s="693"/>
      <c r="HGZ4751" s="696"/>
      <c r="HHA4751" s="693"/>
      <c r="HHB4751" s="696"/>
      <c r="HHC4751" s="693"/>
      <c r="HHD4751" s="696"/>
      <c r="HHE4751" s="693"/>
      <c r="HHF4751" s="696"/>
      <c r="HHG4751" s="693"/>
      <c r="HHH4751" s="696"/>
      <c r="HHI4751" s="693"/>
      <c r="HHJ4751" s="696"/>
      <c r="HHK4751" s="693"/>
      <c r="HHL4751" s="696"/>
      <c r="HHM4751" s="693"/>
      <c r="HHN4751" s="696"/>
      <c r="HHO4751" s="693"/>
      <c r="HHP4751" s="696"/>
      <c r="HHQ4751" s="693"/>
      <c r="HHR4751" s="696"/>
      <c r="HHS4751" s="693"/>
      <c r="HHT4751" s="696"/>
      <c r="HHU4751" s="693"/>
      <c r="HHV4751" s="696"/>
      <c r="HHW4751" s="693"/>
      <c r="HHX4751" s="696"/>
      <c r="HHY4751" s="693"/>
      <c r="HHZ4751" s="696"/>
      <c r="HIA4751" s="693"/>
      <c r="HIB4751" s="696"/>
      <c r="HIC4751" s="693"/>
      <c r="HID4751" s="696"/>
      <c r="HIE4751" s="693"/>
      <c r="HIF4751" s="696"/>
      <c r="HIG4751" s="693"/>
      <c r="HIH4751" s="696"/>
      <c r="HII4751" s="693"/>
      <c r="HIJ4751" s="696"/>
      <c r="HIK4751" s="693"/>
      <c r="HIL4751" s="696"/>
      <c r="HIM4751" s="693"/>
      <c r="HIN4751" s="696"/>
      <c r="HIO4751" s="693"/>
      <c r="HIP4751" s="696"/>
      <c r="HIQ4751" s="693"/>
      <c r="HIR4751" s="696"/>
      <c r="HIS4751" s="693"/>
      <c r="HIT4751" s="696"/>
      <c r="HIU4751" s="693"/>
      <c r="HIV4751" s="696"/>
      <c r="HIW4751" s="693"/>
      <c r="HIX4751" s="696"/>
      <c r="HIY4751" s="693"/>
      <c r="HIZ4751" s="696"/>
      <c r="HJA4751" s="693"/>
      <c r="HJB4751" s="696"/>
      <c r="HJC4751" s="693"/>
      <c r="HJD4751" s="696"/>
      <c r="HJE4751" s="693"/>
      <c r="HJF4751" s="696"/>
      <c r="HJG4751" s="693"/>
      <c r="HJH4751" s="696"/>
      <c r="HJI4751" s="693"/>
      <c r="HJJ4751" s="696"/>
      <c r="HJK4751" s="693"/>
      <c r="HJL4751" s="696"/>
      <c r="HJM4751" s="693"/>
      <c r="HJN4751" s="696"/>
      <c r="HJO4751" s="693"/>
      <c r="HJP4751" s="696"/>
      <c r="HJQ4751" s="693"/>
      <c r="HJR4751" s="696"/>
      <c r="HJS4751" s="693"/>
      <c r="HJT4751" s="696"/>
      <c r="HJU4751" s="693"/>
      <c r="HJV4751" s="696"/>
      <c r="HJW4751" s="693"/>
      <c r="HJX4751" s="696"/>
      <c r="HJY4751" s="693"/>
      <c r="HJZ4751" s="696"/>
      <c r="HKA4751" s="693"/>
      <c r="HKB4751" s="696"/>
      <c r="HKC4751" s="693"/>
      <c r="HKD4751" s="696"/>
      <c r="HKE4751" s="693"/>
      <c r="HKF4751" s="696"/>
      <c r="HKG4751" s="693"/>
      <c r="HKH4751" s="696"/>
      <c r="HKI4751" s="693"/>
      <c r="HKJ4751" s="696"/>
      <c r="HKK4751" s="693"/>
      <c r="HKL4751" s="696"/>
      <c r="HKM4751" s="693"/>
      <c r="HKN4751" s="696"/>
      <c r="HKO4751" s="693"/>
      <c r="HKP4751" s="696"/>
      <c r="HKQ4751" s="693"/>
      <c r="HKR4751" s="696"/>
      <c r="HKS4751" s="693"/>
      <c r="HKT4751" s="696"/>
      <c r="HKU4751" s="693"/>
      <c r="HKV4751" s="696"/>
      <c r="HKW4751" s="693"/>
      <c r="HKX4751" s="696"/>
      <c r="HKY4751" s="693"/>
      <c r="HKZ4751" s="696"/>
      <c r="HLA4751" s="693"/>
      <c r="HLB4751" s="696"/>
      <c r="HLC4751" s="693"/>
      <c r="HLD4751" s="696"/>
      <c r="HLE4751" s="693"/>
      <c r="HLF4751" s="696"/>
      <c r="HLG4751" s="693"/>
      <c r="HLH4751" s="696"/>
      <c r="HLI4751" s="693"/>
      <c r="HLJ4751" s="696"/>
      <c r="HLK4751" s="693"/>
      <c r="HLL4751" s="696"/>
      <c r="HLM4751" s="693"/>
      <c r="HLN4751" s="696"/>
      <c r="HLO4751" s="693"/>
      <c r="HLP4751" s="696"/>
      <c r="HLQ4751" s="693"/>
      <c r="HLR4751" s="696"/>
      <c r="HLS4751" s="693"/>
      <c r="HLT4751" s="696"/>
      <c r="HLU4751" s="693"/>
      <c r="HLV4751" s="696"/>
      <c r="HLW4751" s="693"/>
      <c r="HLX4751" s="696"/>
      <c r="HLY4751" s="693"/>
      <c r="HLZ4751" s="696"/>
      <c r="HMA4751" s="693"/>
      <c r="HMB4751" s="696"/>
      <c r="HMC4751" s="693"/>
      <c r="HMD4751" s="696"/>
      <c r="HME4751" s="693"/>
      <c r="HMF4751" s="696"/>
      <c r="HMG4751" s="693"/>
      <c r="HMH4751" s="696"/>
      <c r="HMI4751" s="693"/>
      <c r="HMJ4751" s="696"/>
      <c r="HMK4751" s="693"/>
      <c r="HML4751" s="696"/>
      <c r="HMM4751" s="693"/>
      <c r="HMN4751" s="696"/>
      <c r="HMO4751" s="693"/>
      <c r="HMP4751" s="696"/>
      <c r="HMQ4751" s="693"/>
      <c r="HMR4751" s="696"/>
      <c r="HMS4751" s="693"/>
      <c r="HMT4751" s="696"/>
      <c r="HMU4751" s="693"/>
      <c r="HMV4751" s="696"/>
      <c r="HMW4751" s="693"/>
      <c r="HMX4751" s="696"/>
      <c r="HMY4751" s="693"/>
      <c r="HMZ4751" s="696"/>
      <c r="HNA4751" s="693"/>
      <c r="HNB4751" s="696"/>
      <c r="HNC4751" s="693"/>
      <c r="HND4751" s="696"/>
      <c r="HNE4751" s="693"/>
      <c r="HNF4751" s="696"/>
      <c r="HNG4751" s="693"/>
      <c r="HNH4751" s="696"/>
      <c r="HNI4751" s="693"/>
      <c r="HNJ4751" s="696"/>
      <c r="HNK4751" s="693"/>
      <c r="HNL4751" s="696"/>
      <c r="HNM4751" s="693"/>
      <c r="HNN4751" s="696"/>
      <c r="HNO4751" s="693"/>
      <c r="HNP4751" s="696"/>
      <c r="HNQ4751" s="693"/>
      <c r="HNR4751" s="696"/>
      <c r="HNS4751" s="693"/>
      <c r="HNT4751" s="696"/>
      <c r="HNU4751" s="693"/>
      <c r="HNV4751" s="696"/>
      <c r="HNW4751" s="693"/>
      <c r="HNX4751" s="696"/>
      <c r="HNY4751" s="693"/>
      <c r="HNZ4751" s="696"/>
      <c r="HOA4751" s="693"/>
      <c r="HOB4751" s="696"/>
      <c r="HOC4751" s="693"/>
      <c r="HOD4751" s="696"/>
      <c r="HOE4751" s="693"/>
      <c r="HOF4751" s="696"/>
      <c r="HOG4751" s="693"/>
      <c r="HOH4751" s="696"/>
      <c r="HOI4751" s="693"/>
      <c r="HOJ4751" s="696"/>
      <c r="HOK4751" s="693"/>
      <c r="HOL4751" s="696"/>
      <c r="HOM4751" s="693"/>
      <c r="HON4751" s="696"/>
      <c r="HOO4751" s="693"/>
      <c r="HOP4751" s="696"/>
      <c r="HOQ4751" s="693"/>
      <c r="HOR4751" s="696"/>
      <c r="HOS4751" s="693"/>
      <c r="HOT4751" s="696"/>
      <c r="HOU4751" s="693"/>
      <c r="HOV4751" s="696"/>
      <c r="HOW4751" s="693"/>
      <c r="HOX4751" s="696"/>
      <c r="HOY4751" s="693"/>
      <c r="HOZ4751" s="696"/>
      <c r="HPA4751" s="693"/>
      <c r="HPB4751" s="696"/>
      <c r="HPC4751" s="693"/>
      <c r="HPD4751" s="696"/>
      <c r="HPE4751" s="693"/>
      <c r="HPF4751" s="696"/>
      <c r="HPG4751" s="693"/>
      <c r="HPH4751" s="696"/>
      <c r="HPI4751" s="693"/>
      <c r="HPJ4751" s="696"/>
      <c r="HPK4751" s="693"/>
      <c r="HPL4751" s="696"/>
      <c r="HPM4751" s="693"/>
      <c r="HPN4751" s="696"/>
      <c r="HPO4751" s="693"/>
      <c r="HPP4751" s="696"/>
      <c r="HPQ4751" s="693"/>
      <c r="HPR4751" s="696"/>
      <c r="HPS4751" s="693"/>
      <c r="HPT4751" s="696"/>
      <c r="HPU4751" s="693"/>
      <c r="HPV4751" s="696"/>
      <c r="HPW4751" s="693"/>
      <c r="HPX4751" s="696"/>
      <c r="HPY4751" s="693"/>
      <c r="HPZ4751" s="696"/>
      <c r="HQA4751" s="693"/>
      <c r="HQB4751" s="696"/>
      <c r="HQC4751" s="693"/>
      <c r="HQD4751" s="696"/>
      <c r="HQE4751" s="693"/>
      <c r="HQF4751" s="696"/>
      <c r="HQG4751" s="693"/>
      <c r="HQH4751" s="696"/>
      <c r="HQI4751" s="693"/>
      <c r="HQJ4751" s="696"/>
      <c r="HQK4751" s="693"/>
      <c r="HQL4751" s="696"/>
      <c r="HQM4751" s="693"/>
      <c r="HQN4751" s="696"/>
      <c r="HQO4751" s="693"/>
      <c r="HQP4751" s="696"/>
      <c r="HQQ4751" s="693"/>
      <c r="HQR4751" s="696"/>
      <c r="HQS4751" s="693"/>
      <c r="HQT4751" s="696"/>
      <c r="HQU4751" s="693"/>
      <c r="HQV4751" s="696"/>
      <c r="HQW4751" s="693"/>
      <c r="HQX4751" s="696"/>
      <c r="HQY4751" s="693"/>
      <c r="HQZ4751" s="696"/>
      <c r="HRA4751" s="693"/>
      <c r="HRB4751" s="696"/>
      <c r="HRC4751" s="693"/>
      <c r="HRD4751" s="696"/>
      <c r="HRE4751" s="693"/>
      <c r="HRF4751" s="696"/>
      <c r="HRG4751" s="693"/>
      <c r="HRH4751" s="696"/>
      <c r="HRI4751" s="693"/>
      <c r="HRJ4751" s="696"/>
      <c r="HRK4751" s="693"/>
      <c r="HRL4751" s="696"/>
      <c r="HRM4751" s="693"/>
      <c r="HRN4751" s="696"/>
      <c r="HRO4751" s="693"/>
      <c r="HRP4751" s="696"/>
      <c r="HRQ4751" s="693"/>
      <c r="HRR4751" s="696"/>
      <c r="HRS4751" s="693"/>
      <c r="HRT4751" s="696"/>
      <c r="HRU4751" s="693"/>
      <c r="HRV4751" s="696"/>
      <c r="HRW4751" s="693"/>
      <c r="HRX4751" s="696"/>
      <c r="HRY4751" s="693"/>
      <c r="HRZ4751" s="696"/>
      <c r="HSA4751" s="693"/>
      <c r="HSB4751" s="696"/>
      <c r="HSC4751" s="693"/>
      <c r="HSD4751" s="696"/>
      <c r="HSE4751" s="693"/>
      <c r="HSF4751" s="696"/>
      <c r="HSG4751" s="693"/>
      <c r="HSH4751" s="696"/>
      <c r="HSI4751" s="693"/>
      <c r="HSJ4751" s="696"/>
      <c r="HSK4751" s="693"/>
      <c r="HSL4751" s="696"/>
      <c r="HSM4751" s="693"/>
      <c r="HSN4751" s="696"/>
      <c r="HSO4751" s="693"/>
      <c r="HSP4751" s="696"/>
      <c r="HSQ4751" s="693"/>
      <c r="HSR4751" s="696"/>
      <c r="HSS4751" s="693"/>
      <c r="HST4751" s="696"/>
      <c r="HSU4751" s="693"/>
      <c r="HSV4751" s="696"/>
      <c r="HSW4751" s="693"/>
      <c r="HSX4751" s="696"/>
      <c r="HSY4751" s="693"/>
      <c r="HSZ4751" s="696"/>
      <c r="HTA4751" s="693"/>
      <c r="HTB4751" s="696"/>
      <c r="HTC4751" s="693"/>
      <c r="HTD4751" s="696"/>
      <c r="HTE4751" s="693"/>
      <c r="HTF4751" s="696"/>
      <c r="HTG4751" s="693"/>
      <c r="HTH4751" s="696"/>
      <c r="HTI4751" s="693"/>
      <c r="HTJ4751" s="696"/>
      <c r="HTK4751" s="693"/>
      <c r="HTL4751" s="696"/>
      <c r="HTM4751" s="693"/>
      <c r="HTN4751" s="696"/>
      <c r="HTO4751" s="693"/>
      <c r="HTP4751" s="696"/>
      <c r="HTQ4751" s="693"/>
      <c r="HTR4751" s="696"/>
      <c r="HTS4751" s="693"/>
      <c r="HTT4751" s="696"/>
      <c r="HTU4751" s="693"/>
      <c r="HTV4751" s="696"/>
      <c r="HTW4751" s="693"/>
      <c r="HTX4751" s="696"/>
      <c r="HTY4751" s="693"/>
      <c r="HTZ4751" s="696"/>
      <c r="HUA4751" s="693"/>
      <c r="HUB4751" s="696"/>
      <c r="HUC4751" s="693"/>
      <c r="HUD4751" s="696"/>
      <c r="HUE4751" s="693"/>
      <c r="HUF4751" s="696"/>
      <c r="HUG4751" s="693"/>
      <c r="HUH4751" s="696"/>
      <c r="HUI4751" s="693"/>
      <c r="HUJ4751" s="696"/>
      <c r="HUK4751" s="693"/>
      <c r="HUL4751" s="696"/>
      <c r="HUM4751" s="693"/>
      <c r="HUN4751" s="696"/>
      <c r="HUO4751" s="693"/>
      <c r="HUP4751" s="696"/>
      <c r="HUQ4751" s="693"/>
      <c r="HUR4751" s="696"/>
      <c r="HUS4751" s="693"/>
      <c r="HUT4751" s="696"/>
      <c r="HUU4751" s="693"/>
      <c r="HUV4751" s="696"/>
      <c r="HUW4751" s="693"/>
      <c r="HUX4751" s="696"/>
      <c r="HUY4751" s="693"/>
      <c r="HUZ4751" s="696"/>
      <c r="HVA4751" s="693"/>
      <c r="HVB4751" s="696"/>
      <c r="HVC4751" s="693"/>
      <c r="HVD4751" s="696"/>
      <c r="HVE4751" s="693"/>
      <c r="HVF4751" s="696"/>
      <c r="HVG4751" s="693"/>
      <c r="HVH4751" s="696"/>
      <c r="HVI4751" s="693"/>
      <c r="HVJ4751" s="696"/>
      <c r="HVK4751" s="693"/>
      <c r="HVL4751" s="696"/>
      <c r="HVM4751" s="693"/>
      <c r="HVN4751" s="696"/>
      <c r="HVO4751" s="693"/>
      <c r="HVP4751" s="696"/>
      <c r="HVQ4751" s="693"/>
      <c r="HVR4751" s="696"/>
      <c r="HVS4751" s="693"/>
      <c r="HVT4751" s="696"/>
      <c r="HVU4751" s="693"/>
      <c r="HVV4751" s="696"/>
      <c r="HVW4751" s="693"/>
      <c r="HVX4751" s="696"/>
      <c r="HVY4751" s="693"/>
      <c r="HVZ4751" s="696"/>
      <c r="HWA4751" s="693"/>
      <c r="HWB4751" s="696"/>
      <c r="HWC4751" s="693"/>
      <c r="HWD4751" s="696"/>
      <c r="HWE4751" s="693"/>
      <c r="HWF4751" s="696"/>
      <c r="HWG4751" s="693"/>
      <c r="HWH4751" s="696"/>
      <c r="HWI4751" s="693"/>
      <c r="HWJ4751" s="696"/>
      <c r="HWK4751" s="693"/>
      <c r="HWL4751" s="696"/>
      <c r="HWM4751" s="693"/>
      <c r="HWN4751" s="696"/>
      <c r="HWO4751" s="693"/>
      <c r="HWP4751" s="696"/>
      <c r="HWQ4751" s="693"/>
      <c r="HWR4751" s="696"/>
      <c r="HWS4751" s="693"/>
      <c r="HWT4751" s="696"/>
      <c r="HWU4751" s="693"/>
      <c r="HWV4751" s="696"/>
      <c r="HWW4751" s="693"/>
      <c r="HWX4751" s="696"/>
      <c r="HWY4751" s="693"/>
      <c r="HWZ4751" s="696"/>
      <c r="HXA4751" s="693"/>
      <c r="HXB4751" s="696"/>
      <c r="HXC4751" s="693"/>
      <c r="HXD4751" s="696"/>
      <c r="HXE4751" s="693"/>
      <c r="HXF4751" s="696"/>
      <c r="HXG4751" s="693"/>
      <c r="HXH4751" s="696"/>
      <c r="HXI4751" s="693"/>
      <c r="HXJ4751" s="696"/>
      <c r="HXK4751" s="693"/>
      <c r="HXL4751" s="696"/>
      <c r="HXM4751" s="693"/>
      <c r="HXN4751" s="696"/>
      <c r="HXO4751" s="693"/>
      <c r="HXP4751" s="696"/>
      <c r="HXQ4751" s="693"/>
      <c r="HXR4751" s="696"/>
      <c r="HXS4751" s="693"/>
      <c r="HXT4751" s="696"/>
      <c r="HXU4751" s="693"/>
      <c r="HXV4751" s="696"/>
      <c r="HXW4751" s="693"/>
      <c r="HXX4751" s="696"/>
      <c r="HXY4751" s="693"/>
      <c r="HXZ4751" s="696"/>
      <c r="HYA4751" s="693"/>
      <c r="HYB4751" s="696"/>
      <c r="HYC4751" s="693"/>
      <c r="HYD4751" s="696"/>
      <c r="HYE4751" s="693"/>
      <c r="HYF4751" s="696"/>
      <c r="HYG4751" s="693"/>
      <c r="HYH4751" s="696"/>
      <c r="HYI4751" s="693"/>
      <c r="HYJ4751" s="696"/>
      <c r="HYK4751" s="693"/>
      <c r="HYL4751" s="696"/>
      <c r="HYM4751" s="693"/>
      <c r="HYN4751" s="696"/>
      <c r="HYO4751" s="693"/>
      <c r="HYP4751" s="696"/>
      <c r="HYQ4751" s="693"/>
      <c r="HYR4751" s="696"/>
      <c r="HYS4751" s="693"/>
      <c r="HYT4751" s="696"/>
      <c r="HYU4751" s="693"/>
      <c r="HYV4751" s="696"/>
      <c r="HYW4751" s="693"/>
      <c r="HYX4751" s="696"/>
      <c r="HYY4751" s="693"/>
      <c r="HYZ4751" s="696"/>
      <c r="HZA4751" s="693"/>
      <c r="HZB4751" s="696"/>
      <c r="HZC4751" s="693"/>
      <c r="HZD4751" s="696"/>
      <c r="HZE4751" s="693"/>
      <c r="HZF4751" s="696"/>
      <c r="HZG4751" s="693"/>
      <c r="HZH4751" s="696"/>
      <c r="HZI4751" s="693"/>
      <c r="HZJ4751" s="696"/>
      <c r="HZK4751" s="693"/>
      <c r="HZL4751" s="696"/>
      <c r="HZM4751" s="693"/>
      <c r="HZN4751" s="696"/>
      <c r="HZO4751" s="693"/>
      <c r="HZP4751" s="696"/>
      <c r="HZQ4751" s="693"/>
      <c r="HZR4751" s="696"/>
      <c r="HZS4751" s="693"/>
      <c r="HZT4751" s="696"/>
      <c r="HZU4751" s="693"/>
      <c r="HZV4751" s="696"/>
      <c r="HZW4751" s="693"/>
      <c r="HZX4751" s="696"/>
      <c r="HZY4751" s="693"/>
      <c r="HZZ4751" s="696"/>
      <c r="IAA4751" s="693"/>
      <c r="IAB4751" s="696"/>
      <c r="IAC4751" s="693"/>
      <c r="IAD4751" s="696"/>
      <c r="IAE4751" s="693"/>
      <c r="IAF4751" s="696"/>
      <c r="IAG4751" s="693"/>
      <c r="IAH4751" s="696"/>
      <c r="IAI4751" s="693"/>
      <c r="IAJ4751" s="696"/>
      <c r="IAK4751" s="693"/>
      <c r="IAL4751" s="696"/>
      <c r="IAM4751" s="693"/>
      <c r="IAN4751" s="696"/>
      <c r="IAO4751" s="693"/>
      <c r="IAP4751" s="696"/>
      <c r="IAQ4751" s="693"/>
      <c r="IAR4751" s="696"/>
      <c r="IAS4751" s="693"/>
      <c r="IAT4751" s="696"/>
      <c r="IAU4751" s="693"/>
      <c r="IAV4751" s="696"/>
      <c r="IAW4751" s="693"/>
      <c r="IAX4751" s="696"/>
      <c r="IAY4751" s="693"/>
      <c r="IAZ4751" s="696"/>
      <c r="IBA4751" s="693"/>
      <c r="IBB4751" s="696"/>
      <c r="IBC4751" s="693"/>
      <c r="IBD4751" s="696"/>
      <c r="IBE4751" s="693"/>
      <c r="IBF4751" s="696"/>
      <c r="IBG4751" s="693"/>
      <c r="IBH4751" s="696"/>
      <c r="IBI4751" s="693"/>
      <c r="IBJ4751" s="696"/>
      <c r="IBK4751" s="693"/>
      <c r="IBL4751" s="696"/>
      <c r="IBM4751" s="693"/>
      <c r="IBN4751" s="696"/>
      <c r="IBO4751" s="693"/>
      <c r="IBP4751" s="696"/>
      <c r="IBQ4751" s="693"/>
      <c r="IBR4751" s="696"/>
      <c r="IBS4751" s="693"/>
      <c r="IBT4751" s="696"/>
      <c r="IBU4751" s="693"/>
      <c r="IBV4751" s="696"/>
      <c r="IBW4751" s="693"/>
      <c r="IBX4751" s="696"/>
      <c r="IBY4751" s="693"/>
      <c r="IBZ4751" s="696"/>
      <c r="ICA4751" s="693"/>
      <c r="ICB4751" s="696"/>
      <c r="ICC4751" s="693"/>
      <c r="ICD4751" s="696"/>
      <c r="ICE4751" s="693"/>
      <c r="ICF4751" s="696"/>
      <c r="ICG4751" s="693"/>
      <c r="ICH4751" s="696"/>
      <c r="ICI4751" s="693"/>
      <c r="ICJ4751" s="696"/>
      <c r="ICK4751" s="693"/>
      <c r="ICL4751" s="696"/>
      <c r="ICM4751" s="693"/>
      <c r="ICN4751" s="696"/>
      <c r="ICO4751" s="693"/>
      <c r="ICP4751" s="696"/>
      <c r="ICQ4751" s="693"/>
      <c r="ICR4751" s="696"/>
      <c r="ICS4751" s="693"/>
      <c r="ICT4751" s="696"/>
      <c r="ICU4751" s="693"/>
      <c r="ICV4751" s="696"/>
      <c r="ICW4751" s="693"/>
      <c r="ICX4751" s="696"/>
      <c r="ICY4751" s="693"/>
      <c r="ICZ4751" s="696"/>
      <c r="IDA4751" s="693"/>
      <c r="IDB4751" s="696"/>
      <c r="IDC4751" s="693"/>
      <c r="IDD4751" s="696"/>
      <c r="IDE4751" s="693"/>
      <c r="IDF4751" s="696"/>
      <c r="IDG4751" s="693"/>
      <c r="IDH4751" s="696"/>
      <c r="IDI4751" s="693"/>
      <c r="IDJ4751" s="696"/>
      <c r="IDK4751" s="693"/>
      <c r="IDL4751" s="696"/>
      <c r="IDM4751" s="693"/>
      <c r="IDN4751" s="696"/>
      <c r="IDO4751" s="693"/>
      <c r="IDP4751" s="696"/>
      <c r="IDQ4751" s="693"/>
      <c r="IDR4751" s="696"/>
      <c r="IDS4751" s="693"/>
      <c r="IDT4751" s="696"/>
      <c r="IDU4751" s="693"/>
      <c r="IDV4751" s="696"/>
      <c r="IDW4751" s="693"/>
      <c r="IDX4751" s="696"/>
      <c r="IDY4751" s="693"/>
      <c r="IDZ4751" s="696"/>
      <c r="IEA4751" s="693"/>
      <c r="IEB4751" s="696"/>
      <c r="IEC4751" s="693"/>
      <c r="IED4751" s="696"/>
      <c r="IEE4751" s="693"/>
      <c r="IEF4751" s="696"/>
      <c r="IEG4751" s="693"/>
      <c r="IEH4751" s="696"/>
      <c r="IEI4751" s="693"/>
      <c r="IEJ4751" s="696"/>
      <c r="IEK4751" s="693"/>
      <c r="IEL4751" s="696"/>
      <c r="IEM4751" s="693"/>
      <c r="IEN4751" s="696"/>
      <c r="IEO4751" s="693"/>
      <c r="IEP4751" s="696"/>
      <c r="IEQ4751" s="693"/>
      <c r="IER4751" s="696"/>
      <c r="IES4751" s="693"/>
      <c r="IET4751" s="696"/>
      <c r="IEU4751" s="693"/>
      <c r="IEV4751" s="696"/>
      <c r="IEW4751" s="693"/>
      <c r="IEX4751" s="696"/>
      <c r="IEY4751" s="693"/>
      <c r="IEZ4751" s="696"/>
      <c r="IFA4751" s="693"/>
      <c r="IFB4751" s="696"/>
      <c r="IFC4751" s="693"/>
      <c r="IFD4751" s="696"/>
      <c r="IFE4751" s="693"/>
      <c r="IFF4751" s="696"/>
      <c r="IFG4751" s="693"/>
      <c r="IFH4751" s="696"/>
      <c r="IFI4751" s="693"/>
      <c r="IFJ4751" s="696"/>
      <c r="IFK4751" s="693"/>
      <c r="IFL4751" s="696"/>
      <c r="IFM4751" s="693"/>
      <c r="IFN4751" s="696"/>
      <c r="IFO4751" s="693"/>
      <c r="IFP4751" s="696"/>
      <c r="IFQ4751" s="693"/>
      <c r="IFR4751" s="696"/>
      <c r="IFS4751" s="693"/>
      <c r="IFT4751" s="696"/>
      <c r="IFU4751" s="693"/>
      <c r="IFV4751" s="696"/>
      <c r="IFW4751" s="693"/>
      <c r="IFX4751" s="696"/>
      <c r="IFY4751" s="693"/>
      <c r="IFZ4751" s="696"/>
      <c r="IGA4751" s="693"/>
      <c r="IGB4751" s="696"/>
      <c r="IGC4751" s="693"/>
      <c r="IGD4751" s="696"/>
      <c r="IGE4751" s="693"/>
      <c r="IGF4751" s="696"/>
      <c r="IGG4751" s="693"/>
      <c r="IGH4751" s="696"/>
      <c r="IGI4751" s="693"/>
      <c r="IGJ4751" s="696"/>
      <c r="IGK4751" s="693"/>
      <c r="IGL4751" s="696"/>
      <c r="IGM4751" s="693"/>
      <c r="IGN4751" s="696"/>
      <c r="IGO4751" s="693"/>
      <c r="IGP4751" s="696"/>
      <c r="IGQ4751" s="693"/>
      <c r="IGR4751" s="696"/>
      <c r="IGS4751" s="693"/>
      <c r="IGT4751" s="696"/>
      <c r="IGU4751" s="693"/>
      <c r="IGV4751" s="696"/>
      <c r="IGW4751" s="693"/>
      <c r="IGX4751" s="696"/>
      <c r="IGY4751" s="693"/>
      <c r="IGZ4751" s="696"/>
      <c r="IHA4751" s="693"/>
      <c r="IHB4751" s="696"/>
      <c r="IHC4751" s="693"/>
      <c r="IHD4751" s="696"/>
      <c r="IHE4751" s="693"/>
      <c r="IHF4751" s="696"/>
      <c r="IHG4751" s="693"/>
      <c r="IHH4751" s="696"/>
      <c r="IHI4751" s="693"/>
      <c r="IHJ4751" s="696"/>
      <c r="IHK4751" s="693"/>
      <c r="IHL4751" s="696"/>
      <c r="IHM4751" s="693"/>
      <c r="IHN4751" s="696"/>
      <c r="IHO4751" s="693"/>
      <c r="IHP4751" s="696"/>
      <c r="IHQ4751" s="693"/>
      <c r="IHR4751" s="696"/>
      <c r="IHS4751" s="693"/>
      <c r="IHT4751" s="696"/>
      <c r="IHU4751" s="693"/>
      <c r="IHV4751" s="696"/>
      <c r="IHW4751" s="693"/>
      <c r="IHX4751" s="696"/>
      <c r="IHY4751" s="693"/>
      <c r="IHZ4751" s="696"/>
      <c r="IIA4751" s="693"/>
      <c r="IIB4751" s="696"/>
      <c r="IIC4751" s="693"/>
      <c r="IID4751" s="696"/>
      <c r="IIE4751" s="693"/>
      <c r="IIF4751" s="696"/>
      <c r="IIG4751" s="693"/>
      <c r="IIH4751" s="696"/>
      <c r="III4751" s="693"/>
      <c r="IIJ4751" s="696"/>
      <c r="IIK4751" s="693"/>
      <c r="IIL4751" s="696"/>
      <c r="IIM4751" s="693"/>
      <c r="IIN4751" s="696"/>
      <c r="IIO4751" s="693"/>
      <c r="IIP4751" s="696"/>
      <c r="IIQ4751" s="693"/>
      <c r="IIR4751" s="696"/>
      <c r="IIS4751" s="693"/>
      <c r="IIT4751" s="696"/>
      <c r="IIU4751" s="693"/>
      <c r="IIV4751" s="696"/>
      <c r="IIW4751" s="693"/>
      <c r="IIX4751" s="696"/>
      <c r="IIY4751" s="693"/>
      <c r="IIZ4751" s="696"/>
      <c r="IJA4751" s="693"/>
      <c r="IJB4751" s="696"/>
      <c r="IJC4751" s="693"/>
      <c r="IJD4751" s="696"/>
      <c r="IJE4751" s="693"/>
      <c r="IJF4751" s="696"/>
      <c r="IJG4751" s="693"/>
      <c r="IJH4751" s="696"/>
      <c r="IJI4751" s="693"/>
      <c r="IJJ4751" s="696"/>
      <c r="IJK4751" s="693"/>
      <c r="IJL4751" s="696"/>
      <c r="IJM4751" s="693"/>
      <c r="IJN4751" s="696"/>
      <c r="IJO4751" s="693"/>
      <c r="IJP4751" s="696"/>
      <c r="IJQ4751" s="693"/>
      <c r="IJR4751" s="696"/>
      <c r="IJS4751" s="693"/>
      <c r="IJT4751" s="696"/>
      <c r="IJU4751" s="693"/>
      <c r="IJV4751" s="696"/>
      <c r="IJW4751" s="693"/>
      <c r="IJX4751" s="696"/>
      <c r="IJY4751" s="693"/>
      <c r="IJZ4751" s="696"/>
      <c r="IKA4751" s="693"/>
      <c r="IKB4751" s="696"/>
      <c r="IKC4751" s="693"/>
      <c r="IKD4751" s="696"/>
      <c r="IKE4751" s="693"/>
      <c r="IKF4751" s="696"/>
      <c r="IKG4751" s="693"/>
      <c r="IKH4751" s="696"/>
      <c r="IKI4751" s="693"/>
      <c r="IKJ4751" s="696"/>
      <c r="IKK4751" s="693"/>
      <c r="IKL4751" s="696"/>
      <c r="IKM4751" s="693"/>
      <c r="IKN4751" s="696"/>
      <c r="IKO4751" s="693"/>
      <c r="IKP4751" s="696"/>
      <c r="IKQ4751" s="693"/>
      <c r="IKR4751" s="696"/>
      <c r="IKS4751" s="693"/>
      <c r="IKT4751" s="696"/>
      <c r="IKU4751" s="693"/>
      <c r="IKV4751" s="696"/>
      <c r="IKW4751" s="693"/>
      <c r="IKX4751" s="696"/>
      <c r="IKY4751" s="693"/>
      <c r="IKZ4751" s="696"/>
      <c r="ILA4751" s="693"/>
      <c r="ILB4751" s="696"/>
      <c r="ILC4751" s="693"/>
      <c r="ILD4751" s="696"/>
      <c r="ILE4751" s="693"/>
      <c r="ILF4751" s="696"/>
      <c r="ILG4751" s="693"/>
      <c r="ILH4751" s="696"/>
      <c r="ILI4751" s="693"/>
      <c r="ILJ4751" s="696"/>
      <c r="ILK4751" s="693"/>
      <c r="ILL4751" s="696"/>
      <c r="ILM4751" s="693"/>
      <c r="ILN4751" s="696"/>
      <c r="ILO4751" s="693"/>
      <c r="ILP4751" s="696"/>
      <c r="ILQ4751" s="693"/>
      <c r="ILR4751" s="696"/>
      <c r="ILS4751" s="693"/>
      <c r="ILT4751" s="696"/>
      <c r="ILU4751" s="693"/>
      <c r="ILV4751" s="696"/>
      <c r="ILW4751" s="693"/>
      <c r="ILX4751" s="696"/>
      <c r="ILY4751" s="693"/>
      <c r="ILZ4751" s="696"/>
      <c r="IMA4751" s="693"/>
      <c r="IMB4751" s="696"/>
      <c r="IMC4751" s="693"/>
      <c r="IMD4751" s="696"/>
      <c r="IME4751" s="693"/>
      <c r="IMF4751" s="696"/>
      <c r="IMG4751" s="693"/>
      <c r="IMH4751" s="696"/>
      <c r="IMI4751" s="693"/>
      <c r="IMJ4751" s="696"/>
      <c r="IMK4751" s="693"/>
      <c r="IML4751" s="696"/>
      <c r="IMM4751" s="693"/>
      <c r="IMN4751" s="696"/>
      <c r="IMO4751" s="693"/>
      <c r="IMP4751" s="696"/>
      <c r="IMQ4751" s="693"/>
      <c r="IMR4751" s="696"/>
      <c r="IMS4751" s="693"/>
      <c r="IMT4751" s="696"/>
      <c r="IMU4751" s="693"/>
      <c r="IMV4751" s="696"/>
      <c r="IMW4751" s="693"/>
      <c r="IMX4751" s="696"/>
      <c r="IMY4751" s="693"/>
      <c r="IMZ4751" s="696"/>
      <c r="INA4751" s="693"/>
      <c r="INB4751" s="696"/>
      <c r="INC4751" s="693"/>
      <c r="IND4751" s="696"/>
      <c r="INE4751" s="693"/>
      <c r="INF4751" s="696"/>
      <c r="ING4751" s="693"/>
      <c r="INH4751" s="696"/>
      <c r="INI4751" s="693"/>
      <c r="INJ4751" s="696"/>
      <c r="INK4751" s="693"/>
      <c r="INL4751" s="696"/>
      <c r="INM4751" s="693"/>
      <c r="INN4751" s="696"/>
      <c r="INO4751" s="693"/>
      <c r="INP4751" s="696"/>
      <c r="INQ4751" s="693"/>
      <c r="INR4751" s="696"/>
      <c r="INS4751" s="693"/>
      <c r="INT4751" s="696"/>
      <c r="INU4751" s="693"/>
      <c r="INV4751" s="696"/>
      <c r="INW4751" s="693"/>
      <c r="INX4751" s="696"/>
      <c r="INY4751" s="693"/>
      <c r="INZ4751" s="696"/>
      <c r="IOA4751" s="693"/>
      <c r="IOB4751" s="696"/>
      <c r="IOC4751" s="693"/>
      <c r="IOD4751" s="696"/>
      <c r="IOE4751" s="693"/>
      <c r="IOF4751" s="696"/>
      <c r="IOG4751" s="693"/>
      <c r="IOH4751" s="696"/>
      <c r="IOI4751" s="693"/>
      <c r="IOJ4751" s="696"/>
      <c r="IOK4751" s="693"/>
      <c r="IOL4751" s="696"/>
      <c r="IOM4751" s="693"/>
      <c r="ION4751" s="696"/>
      <c r="IOO4751" s="693"/>
      <c r="IOP4751" s="696"/>
      <c r="IOQ4751" s="693"/>
      <c r="IOR4751" s="696"/>
      <c r="IOS4751" s="693"/>
      <c r="IOT4751" s="696"/>
      <c r="IOU4751" s="693"/>
      <c r="IOV4751" s="696"/>
      <c r="IOW4751" s="693"/>
      <c r="IOX4751" s="696"/>
      <c r="IOY4751" s="693"/>
      <c r="IOZ4751" s="696"/>
      <c r="IPA4751" s="693"/>
      <c r="IPB4751" s="696"/>
      <c r="IPC4751" s="693"/>
      <c r="IPD4751" s="696"/>
      <c r="IPE4751" s="693"/>
      <c r="IPF4751" s="696"/>
      <c r="IPG4751" s="693"/>
      <c r="IPH4751" s="696"/>
      <c r="IPI4751" s="693"/>
      <c r="IPJ4751" s="696"/>
      <c r="IPK4751" s="693"/>
      <c r="IPL4751" s="696"/>
      <c r="IPM4751" s="693"/>
      <c r="IPN4751" s="696"/>
      <c r="IPO4751" s="693"/>
      <c r="IPP4751" s="696"/>
      <c r="IPQ4751" s="693"/>
      <c r="IPR4751" s="696"/>
      <c r="IPS4751" s="693"/>
      <c r="IPT4751" s="696"/>
      <c r="IPU4751" s="693"/>
      <c r="IPV4751" s="696"/>
      <c r="IPW4751" s="693"/>
      <c r="IPX4751" s="696"/>
      <c r="IPY4751" s="693"/>
      <c r="IPZ4751" s="696"/>
      <c r="IQA4751" s="693"/>
      <c r="IQB4751" s="696"/>
      <c r="IQC4751" s="693"/>
      <c r="IQD4751" s="696"/>
      <c r="IQE4751" s="693"/>
      <c r="IQF4751" s="696"/>
      <c r="IQG4751" s="693"/>
      <c r="IQH4751" s="696"/>
      <c r="IQI4751" s="693"/>
      <c r="IQJ4751" s="696"/>
      <c r="IQK4751" s="693"/>
      <c r="IQL4751" s="696"/>
      <c r="IQM4751" s="693"/>
      <c r="IQN4751" s="696"/>
      <c r="IQO4751" s="693"/>
      <c r="IQP4751" s="696"/>
      <c r="IQQ4751" s="693"/>
      <c r="IQR4751" s="696"/>
      <c r="IQS4751" s="693"/>
      <c r="IQT4751" s="696"/>
      <c r="IQU4751" s="693"/>
      <c r="IQV4751" s="696"/>
      <c r="IQW4751" s="693"/>
      <c r="IQX4751" s="696"/>
      <c r="IQY4751" s="693"/>
      <c r="IQZ4751" s="696"/>
      <c r="IRA4751" s="693"/>
      <c r="IRB4751" s="696"/>
      <c r="IRC4751" s="693"/>
      <c r="IRD4751" s="696"/>
      <c r="IRE4751" s="693"/>
      <c r="IRF4751" s="696"/>
      <c r="IRG4751" s="693"/>
      <c r="IRH4751" s="696"/>
      <c r="IRI4751" s="693"/>
      <c r="IRJ4751" s="696"/>
      <c r="IRK4751" s="693"/>
      <c r="IRL4751" s="696"/>
      <c r="IRM4751" s="693"/>
      <c r="IRN4751" s="696"/>
      <c r="IRO4751" s="693"/>
      <c r="IRP4751" s="696"/>
      <c r="IRQ4751" s="693"/>
      <c r="IRR4751" s="696"/>
      <c r="IRS4751" s="693"/>
      <c r="IRT4751" s="696"/>
      <c r="IRU4751" s="693"/>
      <c r="IRV4751" s="696"/>
      <c r="IRW4751" s="693"/>
      <c r="IRX4751" s="696"/>
      <c r="IRY4751" s="693"/>
      <c r="IRZ4751" s="696"/>
      <c r="ISA4751" s="693"/>
      <c r="ISB4751" s="696"/>
      <c r="ISC4751" s="693"/>
      <c r="ISD4751" s="696"/>
      <c r="ISE4751" s="693"/>
      <c r="ISF4751" s="696"/>
      <c r="ISG4751" s="693"/>
      <c r="ISH4751" s="696"/>
      <c r="ISI4751" s="693"/>
      <c r="ISJ4751" s="696"/>
      <c r="ISK4751" s="693"/>
      <c r="ISL4751" s="696"/>
      <c r="ISM4751" s="693"/>
      <c r="ISN4751" s="696"/>
      <c r="ISO4751" s="693"/>
      <c r="ISP4751" s="696"/>
      <c r="ISQ4751" s="693"/>
      <c r="ISR4751" s="696"/>
      <c r="ISS4751" s="693"/>
      <c r="IST4751" s="696"/>
      <c r="ISU4751" s="693"/>
      <c r="ISV4751" s="696"/>
      <c r="ISW4751" s="693"/>
      <c r="ISX4751" s="696"/>
      <c r="ISY4751" s="693"/>
      <c r="ISZ4751" s="696"/>
      <c r="ITA4751" s="693"/>
      <c r="ITB4751" s="696"/>
      <c r="ITC4751" s="693"/>
      <c r="ITD4751" s="696"/>
      <c r="ITE4751" s="693"/>
      <c r="ITF4751" s="696"/>
      <c r="ITG4751" s="693"/>
      <c r="ITH4751" s="696"/>
      <c r="ITI4751" s="693"/>
      <c r="ITJ4751" s="696"/>
      <c r="ITK4751" s="693"/>
      <c r="ITL4751" s="696"/>
      <c r="ITM4751" s="693"/>
      <c r="ITN4751" s="696"/>
      <c r="ITO4751" s="693"/>
      <c r="ITP4751" s="696"/>
      <c r="ITQ4751" s="693"/>
      <c r="ITR4751" s="696"/>
      <c r="ITS4751" s="693"/>
      <c r="ITT4751" s="696"/>
      <c r="ITU4751" s="693"/>
      <c r="ITV4751" s="696"/>
      <c r="ITW4751" s="693"/>
      <c r="ITX4751" s="696"/>
      <c r="ITY4751" s="693"/>
      <c r="ITZ4751" s="696"/>
      <c r="IUA4751" s="693"/>
      <c r="IUB4751" s="696"/>
      <c r="IUC4751" s="693"/>
      <c r="IUD4751" s="696"/>
      <c r="IUE4751" s="693"/>
      <c r="IUF4751" s="696"/>
      <c r="IUG4751" s="693"/>
      <c r="IUH4751" s="696"/>
      <c r="IUI4751" s="693"/>
      <c r="IUJ4751" s="696"/>
      <c r="IUK4751" s="693"/>
      <c r="IUL4751" s="696"/>
      <c r="IUM4751" s="693"/>
      <c r="IUN4751" s="696"/>
      <c r="IUO4751" s="693"/>
      <c r="IUP4751" s="696"/>
      <c r="IUQ4751" s="693"/>
      <c r="IUR4751" s="696"/>
      <c r="IUS4751" s="693"/>
      <c r="IUT4751" s="696"/>
      <c r="IUU4751" s="693"/>
      <c r="IUV4751" s="696"/>
      <c r="IUW4751" s="693"/>
      <c r="IUX4751" s="696"/>
      <c r="IUY4751" s="693"/>
      <c r="IUZ4751" s="696"/>
      <c r="IVA4751" s="693"/>
      <c r="IVB4751" s="696"/>
      <c r="IVC4751" s="693"/>
      <c r="IVD4751" s="696"/>
      <c r="IVE4751" s="693"/>
      <c r="IVF4751" s="696"/>
      <c r="IVG4751" s="693"/>
      <c r="IVH4751" s="696"/>
      <c r="IVI4751" s="693"/>
      <c r="IVJ4751" s="696"/>
      <c r="IVK4751" s="693"/>
      <c r="IVL4751" s="696"/>
      <c r="IVM4751" s="693"/>
      <c r="IVN4751" s="696"/>
      <c r="IVO4751" s="693"/>
      <c r="IVP4751" s="696"/>
      <c r="IVQ4751" s="693"/>
      <c r="IVR4751" s="696"/>
      <c r="IVS4751" s="693"/>
      <c r="IVT4751" s="696"/>
      <c r="IVU4751" s="693"/>
      <c r="IVV4751" s="696"/>
      <c r="IVW4751" s="693"/>
      <c r="IVX4751" s="696"/>
      <c r="IVY4751" s="693"/>
      <c r="IVZ4751" s="696"/>
      <c r="IWA4751" s="693"/>
      <c r="IWB4751" s="696"/>
      <c r="IWC4751" s="693"/>
      <c r="IWD4751" s="696"/>
      <c r="IWE4751" s="693"/>
      <c r="IWF4751" s="696"/>
      <c r="IWG4751" s="693"/>
      <c r="IWH4751" s="696"/>
      <c r="IWI4751" s="693"/>
      <c r="IWJ4751" s="696"/>
      <c r="IWK4751" s="693"/>
      <c r="IWL4751" s="696"/>
      <c r="IWM4751" s="693"/>
      <c r="IWN4751" s="696"/>
      <c r="IWO4751" s="693"/>
      <c r="IWP4751" s="696"/>
      <c r="IWQ4751" s="693"/>
      <c r="IWR4751" s="696"/>
      <c r="IWS4751" s="693"/>
      <c r="IWT4751" s="696"/>
      <c r="IWU4751" s="693"/>
      <c r="IWV4751" s="696"/>
      <c r="IWW4751" s="693"/>
      <c r="IWX4751" s="696"/>
      <c r="IWY4751" s="693"/>
      <c r="IWZ4751" s="696"/>
      <c r="IXA4751" s="693"/>
      <c r="IXB4751" s="696"/>
      <c r="IXC4751" s="693"/>
      <c r="IXD4751" s="696"/>
      <c r="IXE4751" s="693"/>
      <c r="IXF4751" s="696"/>
      <c r="IXG4751" s="693"/>
      <c r="IXH4751" s="696"/>
      <c r="IXI4751" s="693"/>
      <c r="IXJ4751" s="696"/>
      <c r="IXK4751" s="693"/>
      <c r="IXL4751" s="696"/>
      <c r="IXM4751" s="693"/>
      <c r="IXN4751" s="696"/>
      <c r="IXO4751" s="693"/>
      <c r="IXP4751" s="696"/>
      <c r="IXQ4751" s="693"/>
      <c r="IXR4751" s="696"/>
      <c r="IXS4751" s="693"/>
      <c r="IXT4751" s="696"/>
      <c r="IXU4751" s="693"/>
      <c r="IXV4751" s="696"/>
      <c r="IXW4751" s="693"/>
      <c r="IXX4751" s="696"/>
      <c r="IXY4751" s="693"/>
      <c r="IXZ4751" s="696"/>
      <c r="IYA4751" s="693"/>
      <c r="IYB4751" s="696"/>
      <c r="IYC4751" s="693"/>
      <c r="IYD4751" s="696"/>
      <c r="IYE4751" s="693"/>
      <c r="IYF4751" s="696"/>
      <c r="IYG4751" s="693"/>
      <c r="IYH4751" s="696"/>
      <c r="IYI4751" s="693"/>
      <c r="IYJ4751" s="696"/>
      <c r="IYK4751" s="693"/>
      <c r="IYL4751" s="696"/>
      <c r="IYM4751" s="693"/>
      <c r="IYN4751" s="696"/>
      <c r="IYO4751" s="693"/>
      <c r="IYP4751" s="696"/>
      <c r="IYQ4751" s="693"/>
      <c r="IYR4751" s="696"/>
      <c r="IYS4751" s="693"/>
      <c r="IYT4751" s="696"/>
      <c r="IYU4751" s="693"/>
      <c r="IYV4751" s="696"/>
      <c r="IYW4751" s="693"/>
      <c r="IYX4751" s="696"/>
      <c r="IYY4751" s="693"/>
      <c r="IYZ4751" s="696"/>
      <c r="IZA4751" s="693"/>
      <c r="IZB4751" s="696"/>
      <c r="IZC4751" s="693"/>
      <c r="IZD4751" s="696"/>
      <c r="IZE4751" s="693"/>
      <c r="IZF4751" s="696"/>
      <c r="IZG4751" s="693"/>
      <c r="IZH4751" s="696"/>
      <c r="IZI4751" s="693"/>
      <c r="IZJ4751" s="696"/>
      <c r="IZK4751" s="693"/>
      <c r="IZL4751" s="696"/>
      <c r="IZM4751" s="693"/>
      <c r="IZN4751" s="696"/>
      <c r="IZO4751" s="693"/>
      <c r="IZP4751" s="696"/>
      <c r="IZQ4751" s="693"/>
      <c r="IZR4751" s="696"/>
      <c r="IZS4751" s="693"/>
      <c r="IZT4751" s="696"/>
      <c r="IZU4751" s="693"/>
      <c r="IZV4751" s="696"/>
      <c r="IZW4751" s="693"/>
      <c r="IZX4751" s="696"/>
      <c r="IZY4751" s="693"/>
      <c r="IZZ4751" s="696"/>
      <c r="JAA4751" s="693"/>
      <c r="JAB4751" s="696"/>
      <c r="JAC4751" s="693"/>
      <c r="JAD4751" s="696"/>
      <c r="JAE4751" s="693"/>
      <c r="JAF4751" s="696"/>
      <c r="JAG4751" s="693"/>
      <c r="JAH4751" s="696"/>
      <c r="JAI4751" s="693"/>
      <c r="JAJ4751" s="696"/>
      <c r="JAK4751" s="693"/>
      <c r="JAL4751" s="696"/>
      <c r="JAM4751" s="693"/>
      <c r="JAN4751" s="696"/>
      <c r="JAO4751" s="693"/>
      <c r="JAP4751" s="696"/>
      <c r="JAQ4751" s="693"/>
      <c r="JAR4751" s="696"/>
      <c r="JAS4751" s="693"/>
      <c r="JAT4751" s="696"/>
      <c r="JAU4751" s="693"/>
      <c r="JAV4751" s="696"/>
      <c r="JAW4751" s="693"/>
      <c r="JAX4751" s="696"/>
      <c r="JAY4751" s="693"/>
      <c r="JAZ4751" s="696"/>
      <c r="JBA4751" s="693"/>
      <c r="JBB4751" s="696"/>
      <c r="JBC4751" s="693"/>
      <c r="JBD4751" s="696"/>
      <c r="JBE4751" s="693"/>
      <c r="JBF4751" s="696"/>
      <c r="JBG4751" s="693"/>
      <c r="JBH4751" s="696"/>
      <c r="JBI4751" s="693"/>
      <c r="JBJ4751" s="696"/>
      <c r="JBK4751" s="693"/>
      <c r="JBL4751" s="696"/>
      <c r="JBM4751" s="693"/>
      <c r="JBN4751" s="696"/>
      <c r="JBO4751" s="693"/>
      <c r="JBP4751" s="696"/>
      <c r="JBQ4751" s="693"/>
      <c r="JBR4751" s="696"/>
      <c r="JBS4751" s="693"/>
      <c r="JBT4751" s="696"/>
      <c r="JBU4751" s="693"/>
      <c r="JBV4751" s="696"/>
      <c r="JBW4751" s="693"/>
      <c r="JBX4751" s="696"/>
      <c r="JBY4751" s="693"/>
      <c r="JBZ4751" s="696"/>
      <c r="JCA4751" s="693"/>
      <c r="JCB4751" s="696"/>
      <c r="JCC4751" s="693"/>
      <c r="JCD4751" s="696"/>
      <c r="JCE4751" s="693"/>
      <c r="JCF4751" s="696"/>
      <c r="JCG4751" s="693"/>
      <c r="JCH4751" s="696"/>
      <c r="JCI4751" s="693"/>
      <c r="JCJ4751" s="696"/>
      <c r="JCK4751" s="693"/>
      <c r="JCL4751" s="696"/>
      <c r="JCM4751" s="693"/>
      <c r="JCN4751" s="696"/>
      <c r="JCO4751" s="693"/>
      <c r="JCP4751" s="696"/>
      <c r="JCQ4751" s="693"/>
      <c r="JCR4751" s="696"/>
      <c r="JCS4751" s="693"/>
      <c r="JCT4751" s="696"/>
      <c r="JCU4751" s="693"/>
      <c r="JCV4751" s="696"/>
      <c r="JCW4751" s="693"/>
      <c r="JCX4751" s="696"/>
      <c r="JCY4751" s="693"/>
      <c r="JCZ4751" s="696"/>
      <c r="JDA4751" s="693"/>
      <c r="JDB4751" s="696"/>
      <c r="JDC4751" s="693"/>
      <c r="JDD4751" s="696"/>
      <c r="JDE4751" s="693"/>
      <c r="JDF4751" s="696"/>
      <c r="JDG4751" s="693"/>
      <c r="JDH4751" s="696"/>
      <c r="JDI4751" s="693"/>
      <c r="JDJ4751" s="696"/>
      <c r="JDK4751" s="693"/>
      <c r="JDL4751" s="696"/>
      <c r="JDM4751" s="693"/>
      <c r="JDN4751" s="696"/>
      <c r="JDO4751" s="693"/>
      <c r="JDP4751" s="696"/>
      <c r="JDQ4751" s="693"/>
      <c r="JDR4751" s="696"/>
      <c r="JDS4751" s="693"/>
      <c r="JDT4751" s="696"/>
      <c r="JDU4751" s="693"/>
      <c r="JDV4751" s="696"/>
      <c r="JDW4751" s="693"/>
      <c r="JDX4751" s="696"/>
      <c r="JDY4751" s="693"/>
      <c r="JDZ4751" s="696"/>
      <c r="JEA4751" s="693"/>
      <c r="JEB4751" s="696"/>
      <c r="JEC4751" s="693"/>
      <c r="JED4751" s="696"/>
      <c r="JEE4751" s="693"/>
      <c r="JEF4751" s="696"/>
      <c r="JEG4751" s="693"/>
      <c r="JEH4751" s="696"/>
      <c r="JEI4751" s="693"/>
      <c r="JEJ4751" s="696"/>
      <c r="JEK4751" s="693"/>
      <c r="JEL4751" s="696"/>
      <c r="JEM4751" s="693"/>
      <c r="JEN4751" s="696"/>
      <c r="JEO4751" s="693"/>
      <c r="JEP4751" s="696"/>
      <c r="JEQ4751" s="693"/>
      <c r="JER4751" s="696"/>
      <c r="JES4751" s="693"/>
      <c r="JET4751" s="696"/>
      <c r="JEU4751" s="693"/>
      <c r="JEV4751" s="696"/>
      <c r="JEW4751" s="693"/>
      <c r="JEX4751" s="696"/>
      <c r="JEY4751" s="693"/>
      <c r="JEZ4751" s="696"/>
      <c r="JFA4751" s="693"/>
      <c r="JFB4751" s="696"/>
      <c r="JFC4751" s="693"/>
      <c r="JFD4751" s="696"/>
      <c r="JFE4751" s="693"/>
      <c r="JFF4751" s="696"/>
      <c r="JFG4751" s="693"/>
      <c r="JFH4751" s="696"/>
      <c r="JFI4751" s="693"/>
      <c r="JFJ4751" s="696"/>
      <c r="JFK4751" s="693"/>
      <c r="JFL4751" s="696"/>
      <c r="JFM4751" s="693"/>
      <c r="JFN4751" s="696"/>
      <c r="JFO4751" s="693"/>
      <c r="JFP4751" s="696"/>
      <c r="JFQ4751" s="693"/>
      <c r="JFR4751" s="696"/>
      <c r="JFS4751" s="693"/>
      <c r="JFT4751" s="696"/>
      <c r="JFU4751" s="693"/>
      <c r="JFV4751" s="696"/>
      <c r="JFW4751" s="693"/>
      <c r="JFX4751" s="696"/>
      <c r="JFY4751" s="693"/>
      <c r="JFZ4751" s="696"/>
      <c r="JGA4751" s="693"/>
      <c r="JGB4751" s="696"/>
      <c r="JGC4751" s="693"/>
      <c r="JGD4751" s="696"/>
      <c r="JGE4751" s="693"/>
      <c r="JGF4751" s="696"/>
      <c r="JGG4751" s="693"/>
      <c r="JGH4751" s="696"/>
      <c r="JGI4751" s="693"/>
      <c r="JGJ4751" s="696"/>
      <c r="JGK4751" s="693"/>
      <c r="JGL4751" s="696"/>
      <c r="JGM4751" s="693"/>
      <c r="JGN4751" s="696"/>
      <c r="JGO4751" s="693"/>
      <c r="JGP4751" s="696"/>
      <c r="JGQ4751" s="693"/>
      <c r="JGR4751" s="696"/>
      <c r="JGS4751" s="693"/>
      <c r="JGT4751" s="696"/>
      <c r="JGU4751" s="693"/>
      <c r="JGV4751" s="696"/>
      <c r="JGW4751" s="693"/>
      <c r="JGX4751" s="696"/>
      <c r="JGY4751" s="693"/>
      <c r="JGZ4751" s="696"/>
      <c r="JHA4751" s="693"/>
      <c r="JHB4751" s="696"/>
      <c r="JHC4751" s="693"/>
      <c r="JHD4751" s="696"/>
      <c r="JHE4751" s="693"/>
      <c r="JHF4751" s="696"/>
      <c r="JHG4751" s="693"/>
      <c r="JHH4751" s="696"/>
      <c r="JHI4751" s="693"/>
      <c r="JHJ4751" s="696"/>
      <c r="JHK4751" s="693"/>
      <c r="JHL4751" s="696"/>
      <c r="JHM4751" s="693"/>
      <c r="JHN4751" s="696"/>
      <c r="JHO4751" s="693"/>
      <c r="JHP4751" s="696"/>
      <c r="JHQ4751" s="693"/>
      <c r="JHR4751" s="696"/>
      <c r="JHS4751" s="693"/>
      <c r="JHT4751" s="696"/>
      <c r="JHU4751" s="693"/>
      <c r="JHV4751" s="696"/>
      <c r="JHW4751" s="693"/>
      <c r="JHX4751" s="696"/>
      <c r="JHY4751" s="693"/>
      <c r="JHZ4751" s="696"/>
      <c r="JIA4751" s="693"/>
      <c r="JIB4751" s="696"/>
      <c r="JIC4751" s="693"/>
      <c r="JID4751" s="696"/>
      <c r="JIE4751" s="693"/>
      <c r="JIF4751" s="696"/>
      <c r="JIG4751" s="693"/>
      <c r="JIH4751" s="696"/>
      <c r="JII4751" s="693"/>
      <c r="JIJ4751" s="696"/>
      <c r="JIK4751" s="693"/>
      <c r="JIL4751" s="696"/>
      <c r="JIM4751" s="693"/>
      <c r="JIN4751" s="696"/>
      <c r="JIO4751" s="693"/>
      <c r="JIP4751" s="696"/>
      <c r="JIQ4751" s="693"/>
      <c r="JIR4751" s="696"/>
      <c r="JIS4751" s="693"/>
      <c r="JIT4751" s="696"/>
      <c r="JIU4751" s="693"/>
      <c r="JIV4751" s="696"/>
      <c r="JIW4751" s="693"/>
      <c r="JIX4751" s="696"/>
      <c r="JIY4751" s="693"/>
      <c r="JIZ4751" s="696"/>
      <c r="JJA4751" s="693"/>
      <c r="JJB4751" s="696"/>
      <c r="JJC4751" s="693"/>
      <c r="JJD4751" s="696"/>
      <c r="JJE4751" s="693"/>
      <c r="JJF4751" s="696"/>
      <c r="JJG4751" s="693"/>
      <c r="JJH4751" s="696"/>
      <c r="JJI4751" s="693"/>
      <c r="JJJ4751" s="696"/>
      <c r="JJK4751" s="693"/>
      <c r="JJL4751" s="696"/>
      <c r="JJM4751" s="693"/>
      <c r="JJN4751" s="696"/>
      <c r="JJO4751" s="693"/>
      <c r="JJP4751" s="696"/>
      <c r="JJQ4751" s="693"/>
      <c r="JJR4751" s="696"/>
      <c r="JJS4751" s="693"/>
      <c r="JJT4751" s="696"/>
      <c r="JJU4751" s="693"/>
      <c r="JJV4751" s="696"/>
      <c r="JJW4751" s="693"/>
      <c r="JJX4751" s="696"/>
      <c r="JJY4751" s="693"/>
      <c r="JJZ4751" s="696"/>
      <c r="JKA4751" s="693"/>
      <c r="JKB4751" s="696"/>
      <c r="JKC4751" s="693"/>
      <c r="JKD4751" s="696"/>
      <c r="JKE4751" s="693"/>
      <c r="JKF4751" s="696"/>
      <c r="JKG4751" s="693"/>
      <c r="JKH4751" s="696"/>
      <c r="JKI4751" s="693"/>
      <c r="JKJ4751" s="696"/>
      <c r="JKK4751" s="693"/>
      <c r="JKL4751" s="696"/>
      <c r="JKM4751" s="693"/>
      <c r="JKN4751" s="696"/>
      <c r="JKO4751" s="693"/>
      <c r="JKP4751" s="696"/>
      <c r="JKQ4751" s="693"/>
      <c r="JKR4751" s="696"/>
      <c r="JKS4751" s="693"/>
      <c r="JKT4751" s="696"/>
      <c r="JKU4751" s="693"/>
      <c r="JKV4751" s="696"/>
      <c r="JKW4751" s="693"/>
      <c r="JKX4751" s="696"/>
      <c r="JKY4751" s="693"/>
      <c r="JKZ4751" s="696"/>
      <c r="JLA4751" s="693"/>
      <c r="JLB4751" s="696"/>
      <c r="JLC4751" s="693"/>
      <c r="JLD4751" s="696"/>
      <c r="JLE4751" s="693"/>
      <c r="JLF4751" s="696"/>
      <c r="JLG4751" s="693"/>
      <c r="JLH4751" s="696"/>
      <c r="JLI4751" s="693"/>
      <c r="JLJ4751" s="696"/>
      <c r="JLK4751" s="693"/>
      <c r="JLL4751" s="696"/>
      <c r="JLM4751" s="693"/>
      <c r="JLN4751" s="696"/>
      <c r="JLO4751" s="693"/>
      <c r="JLP4751" s="696"/>
      <c r="JLQ4751" s="693"/>
      <c r="JLR4751" s="696"/>
      <c r="JLS4751" s="693"/>
      <c r="JLT4751" s="696"/>
      <c r="JLU4751" s="693"/>
      <c r="JLV4751" s="696"/>
      <c r="JLW4751" s="693"/>
      <c r="JLX4751" s="696"/>
      <c r="JLY4751" s="693"/>
      <c r="JLZ4751" s="696"/>
      <c r="JMA4751" s="693"/>
      <c r="JMB4751" s="696"/>
      <c r="JMC4751" s="693"/>
      <c r="JMD4751" s="696"/>
      <c r="JME4751" s="693"/>
      <c r="JMF4751" s="696"/>
      <c r="JMG4751" s="693"/>
      <c r="JMH4751" s="696"/>
      <c r="JMI4751" s="693"/>
      <c r="JMJ4751" s="696"/>
      <c r="JMK4751" s="693"/>
      <c r="JML4751" s="696"/>
      <c r="JMM4751" s="693"/>
      <c r="JMN4751" s="696"/>
      <c r="JMO4751" s="693"/>
      <c r="JMP4751" s="696"/>
      <c r="JMQ4751" s="693"/>
      <c r="JMR4751" s="696"/>
      <c r="JMS4751" s="693"/>
      <c r="JMT4751" s="696"/>
      <c r="JMU4751" s="693"/>
      <c r="JMV4751" s="696"/>
      <c r="JMW4751" s="693"/>
      <c r="JMX4751" s="696"/>
      <c r="JMY4751" s="693"/>
      <c r="JMZ4751" s="696"/>
      <c r="JNA4751" s="693"/>
      <c r="JNB4751" s="696"/>
      <c r="JNC4751" s="693"/>
      <c r="JND4751" s="696"/>
      <c r="JNE4751" s="693"/>
      <c r="JNF4751" s="696"/>
      <c r="JNG4751" s="693"/>
      <c r="JNH4751" s="696"/>
      <c r="JNI4751" s="693"/>
      <c r="JNJ4751" s="696"/>
      <c r="JNK4751" s="693"/>
      <c r="JNL4751" s="696"/>
      <c r="JNM4751" s="693"/>
      <c r="JNN4751" s="696"/>
      <c r="JNO4751" s="693"/>
      <c r="JNP4751" s="696"/>
      <c r="JNQ4751" s="693"/>
      <c r="JNR4751" s="696"/>
      <c r="JNS4751" s="693"/>
      <c r="JNT4751" s="696"/>
      <c r="JNU4751" s="693"/>
      <c r="JNV4751" s="696"/>
      <c r="JNW4751" s="693"/>
      <c r="JNX4751" s="696"/>
      <c r="JNY4751" s="693"/>
      <c r="JNZ4751" s="696"/>
      <c r="JOA4751" s="693"/>
      <c r="JOB4751" s="696"/>
      <c r="JOC4751" s="693"/>
      <c r="JOD4751" s="696"/>
      <c r="JOE4751" s="693"/>
      <c r="JOF4751" s="696"/>
      <c r="JOG4751" s="693"/>
      <c r="JOH4751" s="696"/>
      <c r="JOI4751" s="693"/>
      <c r="JOJ4751" s="696"/>
      <c r="JOK4751" s="693"/>
      <c r="JOL4751" s="696"/>
      <c r="JOM4751" s="693"/>
      <c r="JON4751" s="696"/>
      <c r="JOO4751" s="693"/>
      <c r="JOP4751" s="696"/>
      <c r="JOQ4751" s="693"/>
      <c r="JOR4751" s="696"/>
      <c r="JOS4751" s="693"/>
      <c r="JOT4751" s="696"/>
      <c r="JOU4751" s="693"/>
      <c r="JOV4751" s="696"/>
      <c r="JOW4751" s="693"/>
      <c r="JOX4751" s="696"/>
      <c r="JOY4751" s="693"/>
      <c r="JOZ4751" s="696"/>
      <c r="JPA4751" s="693"/>
      <c r="JPB4751" s="696"/>
      <c r="JPC4751" s="693"/>
      <c r="JPD4751" s="696"/>
      <c r="JPE4751" s="693"/>
      <c r="JPF4751" s="696"/>
      <c r="JPG4751" s="693"/>
      <c r="JPH4751" s="696"/>
      <c r="JPI4751" s="693"/>
      <c r="JPJ4751" s="696"/>
      <c r="JPK4751" s="693"/>
      <c r="JPL4751" s="696"/>
      <c r="JPM4751" s="693"/>
      <c r="JPN4751" s="696"/>
      <c r="JPO4751" s="693"/>
      <c r="JPP4751" s="696"/>
      <c r="JPQ4751" s="693"/>
      <c r="JPR4751" s="696"/>
      <c r="JPS4751" s="693"/>
      <c r="JPT4751" s="696"/>
      <c r="JPU4751" s="693"/>
      <c r="JPV4751" s="696"/>
      <c r="JPW4751" s="693"/>
      <c r="JPX4751" s="696"/>
      <c r="JPY4751" s="693"/>
      <c r="JPZ4751" s="696"/>
      <c r="JQA4751" s="693"/>
      <c r="JQB4751" s="696"/>
      <c r="JQC4751" s="693"/>
      <c r="JQD4751" s="696"/>
      <c r="JQE4751" s="693"/>
      <c r="JQF4751" s="696"/>
      <c r="JQG4751" s="693"/>
      <c r="JQH4751" s="696"/>
      <c r="JQI4751" s="693"/>
      <c r="JQJ4751" s="696"/>
      <c r="JQK4751" s="693"/>
      <c r="JQL4751" s="696"/>
      <c r="JQM4751" s="693"/>
      <c r="JQN4751" s="696"/>
      <c r="JQO4751" s="693"/>
      <c r="JQP4751" s="696"/>
      <c r="JQQ4751" s="693"/>
      <c r="JQR4751" s="696"/>
      <c r="JQS4751" s="693"/>
      <c r="JQT4751" s="696"/>
      <c r="JQU4751" s="693"/>
      <c r="JQV4751" s="696"/>
      <c r="JQW4751" s="693"/>
      <c r="JQX4751" s="696"/>
      <c r="JQY4751" s="693"/>
      <c r="JQZ4751" s="696"/>
      <c r="JRA4751" s="693"/>
      <c r="JRB4751" s="696"/>
      <c r="JRC4751" s="693"/>
      <c r="JRD4751" s="696"/>
      <c r="JRE4751" s="693"/>
      <c r="JRF4751" s="696"/>
      <c r="JRG4751" s="693"/>
      <c r="JRH4751" s="696"/>
      <c r="JRI4751" s="693"/>
      <c r="JRJ4751" s="696"/>
      <c r="JRK4751" s="693"/>
      <c r="JRL4751" s="696"/>
      <c r="JRM4751" s="693"/>
      <c r="JRN4751" s="696"/>
      <c r="JRO4751" s="693"/>
      <c r="JRP4751" s="696"/>
      <c r="JRQ4751" s="693"/>
      <c r="JRR4751" s="696"/>
      <c r="JRS4751" s="693"/>
      <c r="JRT4751" s="696"/>
      <c r="JRU4751" s="693"/>
      <c r="JRV4751" s="696"/>
      <c r="JRW4751" s="693"/>
      <c r="JRX4751" s="696"/>
      <c r="JRY4751" s="693"/>
      <c r="JRZ4751" s="696"/>
      <c r="JSA4751" s="693"/>
      <c r="JSB4751" s="696"/>
      <c r="JSC4751" s="693"/>
      <c r="JSD4751" s="696"/>
      <c r="JSE4751" s="693"/>
      <c r="JSF4751" s="696"/>
      <c r="JSG4751" s="693"/>
      <c r="JSH4751" s="696"/>
      <c r="JSI4751" s="693"/>
      <c r="JSJ4751" s="696"/>
      <c r="JSK4751" s="693"/>
      <c r="JSL4751" s="696"/>
      <c r="JSM4751" s="693"/>
      <c r="JSN4751" s="696"/>
      <c r="JSO4751" s="693"/>
      <c r="JSP4751" s="696"/>
      <c r="JSQ4751" s="693"/>
      <c r="JSR4751" s="696"/>
      <c r="JSS4751" s="693"/>
      <c r="JST4751" s="696"/>
      <c r="JSU4751" s="693"/>
      <c r="JSV4751" s="696"/>
      <c r="JSW4751" s="693"/>
      <c r="JSX4751" s="696"/>
      <c r="JSY4751" s="693"/>
      <c r="JSZ4751" s="696"/>
      <c r="JTA4751" s="693"/>
      <c r="JTB4751" s="696"/>
      <c r="JTC4751" s="693"/>
      <c r="JTD4751" s="696"/>
      <c r="JTE4751" s="693"/>
      <c r="JTF4751" s="696"/>
      <c r="JTG4751" s="693"/>
      <c r="JTH4751" s="696"/>
      <c r="JTI4751" s="693"/>
      <c r="JTJ4751" s="696"/>
      <c r="JTK4751" s="693"/>
      <c r="JTL4751" s="696"/>
      <c r="JTM4751" s="693"/>
      <c r="JTN4751" s="696"/>
      <c r="JTO4751" s="693"/>
      <c r="JTP4751" s="696"/>
      <c r="JTQ4751" s="693"/>
      <c r="JTR4751" s="696"/>
      <c r="JTS4751" s="693"/>
      <c r="JTT4751" s="696"/>
      <c r="JTU4751" s="693"/>
      <c r="JTV4751" s="696"/>
      <c r="JTW4751" s="693"/>
      <c r="JTX4751" s="696"/>
      <c r="JTY4751" s="693"/>
      <c r="JTZ4751" s="696"/>
      <c r="JUA4751" s="693"/>
      <c r="JUB4751" s="696"/>
      <c r="JUC4751" s="693"/>
      <c r="JUD4751" s="696"/>
      <c r="JUE4751" s="693"/>
      <c r="JUF4751" s="696"/>
      <c r="JUG4751" s="693"/>
      <c r="JUH4751" s="696"/>
      <c r="JUI4751" s="693"/>
      <c r="JUJ4751" s="696"/>
      <c r="JUK4751" s="693"/>
      <c r="JUL4751" s="696"/>
      <c r="JUM4751" s="693"/>
      <c r="JUN4751" s="696"/>
      <c r="JUO4751" s="693"/>
      <c r="JUP4751" s="696"/>
      <c r="JUQ4751" s="693"/>
      <c r="JUR4751" s="696"/>
      <c r="JUS4751" s="693"/>
      <c r="JUT4751" s="696"/>
      <c r="JUU4751" s="693"/>
      <c r="JUV4751" s="696"/>
      <c r="JUW4751" s="693"/>
      <c r="JUX4751" s="696"/>
      <c r="JUY4751" s="693"/>
      <c r="JUZ4751" s="696"/>
      <c r="JVA4751" s="693"/>
      <c r="JVB4751" s="696"/>
      <c r="JVC4751" s="693"/>
      <c r="JVD4751" s="696"/>
      <c r="JVE4751" s="693"/>
      <c r="JVF4751" s="696"/>
      <c r="JVG4751" s="693"/>
      <c r="JVH4751" s="696"/>
      <c r="JVI4751" s="693"/>
      <c r="JVJ4751" s="696"/>
      <c r="JVK4751" s="693"/>
      <c r="JVL4751" s="696"/>
      <c r="JVM4751" s="693"/>
      <c r="JVN4751" s="696"/>
      <c r="JVO4751" s="693"/>
      <c r="JVP4751" s="696"/>
      <c r="JVQ4751" s="693"/>
      <c r="JVR4751" s="696"/>
      <c r="JVS4751" s="693"/>
      <c r="JVT4751" s="696"/>
      <c r="JVU4751" s="693"/>
      <c r="JVV4751" s="696"/>
      <c r="JVW4751" s="693"/>
      <c r="JVX4751" s="696"/>
      <c r="JVY4751" s="693"/>
      <c r="JVZ4751" s="696"/>
      <c r="JWA4751" s="693"/>
      <c r="JWB4751" s="696"/>
      <c r="JWC4751" s="693"/>
      <c r="JWD4751" s="696"/>
      <c r="JWE4751" s="693"/>
      <c r="JWF4751" s="696"/>
      <c r="JWG4751" s="693"/>
      <c r="JWH4751" s="696"/>
      <c r="JWI4751" s="693"/>
      <c r="JWJ4751" s="696"/>
      <c r="JWK4751" s="693"/>
      <c r="JWL4751" s="696"/>
      <c r="JWM4751" s="693"/>
      <c r="JWN4751" s="696"/>
      <c r="JWO4751" s="693"/>
      <c r="JWP4751" s="696"/>
      <c r="JWQ4751" s="693"/>
      <c r="JWR4751" s="696"/>
      <c r="JWS4751" s="693"/>
      <c r="JWT4751" s="696"/>
      <c r="JWU4751" s="693"/>
      <c r="JWV4751" s="696"/>
      <c r="JWW4751" s="693"/>
      <c r="JWX4751" s="696"/>
      <c r="JWY4751" s="693"/>
      <c r="JWZ4751" s="696"/>
      <c r="JXA4751" s="693"/>
      <c r="JXB4751" s="696"/>
      <c r="JXC4751" s="693"/>
      <c r="JXD4751" s="696"/>
      <c r="JXE4751" s="693"/>
      <c r="JXF4751" s="696"/>
      <c r="JXG4751" s="693"/>
      <c r="JXH4751" s="696"/>
      <c r="JXI4751" s="693"/>
      <c r="JXJ4751" s="696"/>
      <c r="JXK4751" s="693"/>
      <c r="JXL4751" s="696"/>
      <c r="JXM4751" s="693"/>
      <c r="JXN4751" s="696"/>
      <c r="JXO4751" s="693"/>
      <c r="JXP4751" s="696"/>
      <c r="JXQ4751" s="693"/>
      <c r="JXR4751" s="696"/>
      <c r="JXS4751" s="693"/>
      <c r="JXT4751" s="696"/>
      <c r="JXU4751" s="693"/>
      <c r="JXV4751" s="696"/>
      <c r="JXW4751" s="693"/>
      <c r="JXX4751" s="696"/>
      <c r="JXY4751" s="693"/>
      <c r="JXZ4751" s="696"/>
      <c r="JYA4751" s="693"/>
      <c r="JYB4751" s="696"/>
      <c r="JYC4751" s="693"/>
      <c r="JYD4751" s="696"/>
      <c r="JYE4751" s="693"/>
      <c r="JYF4751" s="696"/>
      <c r="JYG4751" s="693"/>
      <c r="JYH4751" s="696"/>
      <c r="JYI4751" s="693"/>
      <c r="JYJ4751" s="696"/>
      <c r="JYK4751" s="693"/>
      <c r="JYL4751" s="696"/>
      <c r="JYM4751" s="693"/>
      <c r="JYN4751" s="696"/>
      <c r="JYO4751" s="693"/>
      <c r="JYP4751" s="696"/>
      <c r="JYQ4751" s="693"/>
      <c r="JYR4751" s="696"/>
      <c r="JYS4751" s="693"/>
      <c r="JYT4751" s="696"/>
      <c r="JYU4751" s="693"/>
      <c r="JYV4751" s="696"/>
      <c r="JYW4751" s="693"/>
      <c r="JYX4751" s="696"/>
      <c r="JYY4751" s="693"/>
      <c r="JYZ4751" s="696"/>
      <c r="JZA4751" s="693"/>
      <c r="JZB4751" s="696"/>
      <c r="JZC4751" s="693"/>
      <c r="JZD4751" s="696"/>
      <c r="JZE4751" s="693"/>
      <c r="JZF4751" s="696"/>
      <c r="JZG4751" s="693"/>
      <c r="JZH4751" s="696"/>
      <c r="JZI4751" s="693"/>
      <c r="JZJ4751" s="696"/>
      <c r="JZK4751" s="693"/>
      <c r="JZL4751" s="696"/>
      <c r="JZM4751" s="693"/>
      <c r="JZN4751" s="696"/>
      <c r="JZO4751" s="693"/>
      <c r="JZP4751" s="696"/>
      <c r="JZQ4751" s="693"/>
      <c r="JZR4751" s="696"/>
      <c r="JZS4751" s="693"/>
      <c r="JZT4751" s="696"/>
      <c r="JZU4751" s="693"/>
      <c r="JZV4751" s="696"/>
      <c r="JZW4751" s="693"/>
      <c r="JZX4751" s="696"/>
      <c r="JZY4751" s="693"/>
      <c r="JZZ4751" s="696"/>
      <c r="KAA4751" s="693"/>
      <c r="KAB4751" s="696"/>
      <c r="KAC4751" s="693"/>
      <c r="KAD4751" s="696"/>
      <c r="KAE4751" s="693"/>
      <c r="KAF4751" s="696"/>
      <c r="KAG4751" s="693"/>
      <c r="KAH4751" s="696"/>
      <c r="KAI4751" s="693"/>
      <c r="KAJ4751" s="696"/>
      <c r="KAK4751" s="693"/>
      <c r="KAL4751" s="696"/>
      <c r="KAM4751" s="693"/>
      <c r="KAN4751" s="696"/>
      <c r="KAO4751" s="693"/>
      <c r="KAP4751" s="696"/>
      <c r="KAQ4751" s="693"/>
      <c r="KAR4751" s="696"/>
      <c r="KAS4751" s="693"/>
      <c r="KAT4751" s="696"/>
      <c r="KAU4751" s="693"/>
      <c r="KAV4751" s="696"/>
      <c r="KAW4751" s="693"/>
      <c r="KAX4751" s="696"/>
      <c r="KAY4751" s="693"/>
      <c r="KAZ4751" s="696"/>
      <c r="KBA4751" s="693"/>
      <c r="KBB4751" s="696"/>
      <c r="KBC4751" s="693"/>
      <c r="KBD4751" s="696"/>
      <c r="KBE4751" s="693"/>
      <c r="KBF4751" s="696"/>
      <c r="KBG4751" s="693"/>
      <c r="KBH4751" s="696"/>
      <c r="KBI4751" s="693"/>
      <c r="KBJ4751" s="696"/>
      <c r="KBK4751" s="693"/>
      <c r="KBL4751" s="696"/>
      <c r="KBM4751" s="693"/>
      <c r="KBN4751" s="696"/>
      <c r="KBO4751" s="693"/>
      <c r="KBP4751" s="696"/>
      <c r="KBQ4751" s="693"/>
      <c r="KBR4751" s="696"/>
      <c r="KBS4751" s="693"/>
      <c r="KBT4751" s="696"/>
      <c r="KBU4751" s="693"/>
      <c r="KBV4751" s="696"/>
      <c r="KBW4751" s="693"/>
      <c r="KBX4751" s="696"/>
      <c r="KBY4751" s="693"/>
      <c r="KBZ4751" s="696"/>
      <c r="KCA4751" s="693"/>
      <c r="KCB4751" s="696"/>
      <c r="KCC4751" s="693"/>
      <c r="KCD4751" s="696"/>
      <c r="KCE4751" s="693"/>
      <c r="KCF4751" s="696"/>
      <c r="KCG4751" s="693"/>
      <c r="KCH4751" s="696"/>
      <c r="KCI4751" s="693"/>
      <c r="KCJ4751" s="696"/>
      <c r="KCK4751" s="693"/>
      <c r="KCL4751" s="696"/>
      <c r="KCM4751" s="693"/>
      <c r="KCN4751" s="696"/>
      <c r="KCO4751" s="693"/>
      <c r="KCP4751" s="696"/>
      <c r="KCQ4751" s="693"/>
      <c r="KCR4751" s="696"/>
      <c r="KCS4751" s="693"/>
      <c r="KCT4751" s="696"/>
      <c r="KCU4751" s="693"/>
      <c r="KCV4751" s="696"/>
      <c r="KCW4751" s="693"/>
      <c r="KCX4751" s="696"/>
      <c r="KCY4751" s="693"/>
      <c r="KCZ4751" s="696"/>
      <c r="KDA4751" s="693"/>
      <c r="KDB4751" s="696"/>
      <c r="KDC4751" s="693"/>
      <c r="KDD4751" s="696"/>
      <c r="KDE4751" s="693"/>
      <c r="KDF4751" s="696"/>
      <c r="KDG4751" s="693"/>
      <c r="KDH4751" s="696"/>
      <c r="KDI4751" s="693"/>
      <c r="KDJ4751" s="696"/>
      <c r="KDK4751" s="693"/>
      <c r="KDL4751" s="696"/>
      <c r="KDM4751" s="693"/>
      <c r="KDN4751" s="696"/>
      <c r="KDO4751" s="693"/>
      <c r="KDP4751" s="696"/>
      <c r="KDQ4751" s="693"/>
      <c r="KDR4751" s="696"/>
      <c r="KDS4751" s="693"/>
      <c r="KDT4751" s="696"/>
      <c r="KDU4751" s="693"/>
      <c r="KDV4751" s="696"/>
      <c r="KDW4751" s="693"/>
      <c r="KDX4751" s="696"/>
      <c r="KDY4751" s="693"/>
      <c r="KDZ4751" s="696"/>
      <c r="KEA4751" s="693"/>
      <c r="KEB4751" s="696"/>
      <c r="KEC4751" s="693"/>
      <c r="KED4751" s="696"/>
      <c r="KEE4751" s="693"/>
      <c r="KEF4751" s="696"/>
      <c r="KEG4751" s="693"/>
      <c r="KEH4751" s="696"/>
      <c r="KEI4751" s="693"/>
      <c r="KEJ4751" s="696"/>
      <c r="KEK4751" s="693"/>
      <c r="KEL4751" s="696"/>
      <c r="KEM4751" s="693"/>
      <c r="KEN4751" s="696"/>
      <c r="KEO4751" s="693"/>
      <c r="KEP4751" s="696"/>
      <c r="KEQ4751" s="693"/>
      <c r="KER4751" s="696"/>
      <c r="KES4751" s="693"/>
      <c r="KET4751" s="696"/>
      <c r="KEU4751" s="693"/>
      <c r="KEV4751" s="696"/>
      <c r="KEW4751" s="693"/>
      <c r="KEX4751" s="696"/>
      <c r="KEY4751" s="693"/>
      <c r="KEZ4751" s="696"/>
      <c r="KFA4751" s="693"/>
      <c r="KFB4751" s="696"/>
      <c r="KFC4751" s="693"/>
      <c r="KFD4751" s="696"/>
      <c r="KFE4751" s="693"/>
      <c r="KFF4751" s="696"/>
      <c r="KFG4751" s="693"/>
      <c r="KFH4751" s="696"/>
      <c r="KFI4751" s="693"/>
      <c r="KFJ4751" s="696"/>
      <c r="KFK4751" s="693"/>
      <c r="KFL4751" s="696"/>
      <c r="KFM4751" s="693"/>
      <c r="KFN4751" s="696"/>
      <c r="KFO4751" s="693"/>
      <c r="KFP4751" s="696"/>
      <c r="KFQ4751" s="693"/>
      <c r="KFR4751" s="696"/>
      <c r="KFS4751" s="693"/>
      <c r="KFT4751" s="696"/>
      <c r="KFU4751" s="693"/>
      <c r="KFV4751" s="696"/>
      <c r="KFW4751" s="693"/>
      <c r="KFX4751" s="696"/>
      <c r="KFY4751" s="693"/>
      <c r="KFZ4751" s="696"/>
      <c r="KGA4751" s="693"/>
      <c r="KGB4751" s="696"/>
      <c r="KGC4751" s="693"/>
      <c r="KGD4751" s="696"/>
      <c r="KGE4751" s="693"/>
      <c r="KGF4751" s="696"/>
      <c r="KGG4751" s="693"/>
      <c r="KGH4751" s="696"/>
      <c r="KGI4751" s="693"/>
      <c r="KGJ4751" s="696"/>
      <c r="KGK4751" s="693"/>
      <c r="KGL4751" s="696"/>
      <c r="KGM4751" s="693"/>
      <c r="KGN4751" s="696"/>
      <c r="KGO4751" s="693"/>
      <c r="KGP4751" s="696"/>
      <c r="KGQ4751" s="693"/>
      <c r="KGR4751" s="696"/>
      <c r="KGS4751" s="693"/>
      <c r="KGT4751" s="696"/>
      <c r="KGU4751" s="693"/>
      <c r="KGV4751" s="696"/>
      <c r="KGW4751" s="693"/>
      <c r="KGX4751" s="696"/>
      <c r="KGY4751" s="693"/>
      <c r="KGZ4751" s="696"/>
      <c r="KHA4751" s="693"/>
      <c r="KHB4751" s="696"/>
      <c r="KHC4751" s="693"/>
      <c r="KHD4751" s="696"/>
      <c r="KHE4751" s="693"/>
      <c r="KHF4751" s="696"/>
      <c r="KHG4751" s="693"/>
      <c r="KHH4751" s="696"/>
      <c r="KHI4751" s="693"/>
      <c r="KHJ4751" s="696"/>
      <c r="KHK4751" s="693"/>
      <c r="KHL4751" s="696"/>
      <c r="KHM4751" s="693"/>
      <c r="KHN4751" s="696"/>
      <c r="KHO4751" s="693"/>
      <c r="KHP4751" s="696"/>
      <c r="KHQ4751" s="693"/>
      <c r="KHR4751" s="696"/>
      <c r="KHS4751" s="693"/>
      <c r="KHT4751" s="696"/>
      <c r="KHU4751" s="693"/>
      <c r="KHV4751" s="696"/>
      <c r="KHW4751" s="693"/>
      <c r="KHX4751" s="696"/>
      <c r="KHY4751" s="693"/>
      <c r="KHZ4751" s="696"/>
      <c r="KIA4751" s="693"/>
      <c r="KIB4751" s="696"/>
      <c r="KIC4751" s="693"/>
      <c r="KID4751" s="696"/>
      <c r="KIE4751" s="693"/>
      <c r="KIF4751" s="696"/>
      <c r="KIG4751" s="693"/>
      <c r="KIH4751" s="696"/>
      <c r="KII4751" s="693"/>
      <c r="KIJ4751" s="696"/>
      <c r="KIK4751" s="693"/>
      <c r="KIL4751" s="696"/>
      <c r="KIM4751" s="693"/>
      <c r="KIN4751" s="696"/>
      <c r="KIO4751" s="693"/>
      <c r="KIP4751" s="696"/>
      <c r="KIQ4751" s="693"/>
      <c r="KIR4751" s="696"/>
      <c r="KIS4751" s="693"/>
      <c r="KIT4751" s="696"/>
      <c r="KIU4751" s="693"/>
      <c r="KIV4751" s="696"/>
      <c r="KIW4751" s="693"/>
      <c r="KIX4751" s="696"/>
      <c r="KIY4751" s="693"/>
      <c r="KIZ4751" s="696"/>
      <c r="KJA4751" s="693"/>
      <c r="KJB4751" s="696"/>
      <c r="KJC4751" s="693"/>
      <c r="KJD4751" s="696"/>
      <c r="KJE4751" s="693"/>
      <c r="KJF4751" s="696"/>
      <c r="KJG4751" s="693"/>
      <c r="KJH4751" s="696"/>
      <c r="KJI4751" s="693"/>
      <c r="KJJ4751" s="696"/>
      <c r="KJK4751" s="693"/>
      <c r="KJL4751" s="696"/>
      <c r="KJM4751" s="693"/>
      <c r="KJN4751" s="696"/>
      <c r="KJO4751" s="693"/>
      <c r="KJP4751" s="696"/>
      <c r="KJQ4751" s="693"/>
      <c r="KJR4751" s="696"/>
      <c r="KJS4751" s="693"/>
      <c r="KJT4751" s="696"/>
      <c r="KJU4751" s="693"/>
      <c r="KJV4751" s="696"/>
      <c r="KJW4751" s="693"/>
      <c r="KJX4751" s="696"/>
      <c r="KJY4751" s="693"/>
      <c r="KJZ4751" s="696"/>
      <c r="KKA4751" s="693"/>
      <c r="KKB4751" s="696"/>
      <c r="KKC4751" s="693"/>
      <c r="KKD4751" s="696"/>
      <c r="KKE4751" s="693"/>
      <c r="KKF4751" s="696"/>
      <c r="KKG4751" s="693"/>
      <c r="KKH4751" s="696"/>
      <c r="KKI4751" s="693"/>
      <c r="KKJ4751" s="696"/>
      <c r="KKK4751" s="693"/>
      <c r="KKL4751" s="696"/>
      <c r="KKM4751" s="693"/>
      <c r="KKN4751" s="696"/>
      <c r="KKO4751" s="693"/>
      <c r="KKP4751" s="696"/>
      <c r="KKQ4751" s="693"/>
      <c r="KKR4751" s="696"/>
      <c r="KKS4751" s="693"/>
      <c r="KKT4751" s="696"/>
      <c r="KKU4751" s="693"/>
      <c r="KKV4751" s="696"/>
      <c r="KKW4751" s="693"/>
      <c r="KKX4751" s="696"/>
      <c r="KKY4751" s="693"/>
      <c r="KKZ4751" s="696"/>
      <c r="KLA4751" s="693"/>
      <c r="KLB4751" s="696"/>
      <c r="KLC4751" s="693"/>
      <c r="KLD4751" s="696"/>
      <c r="KLE4751" s="693"/>
      <c r="KLF4751" s="696"/>
      <c r="KLG4751" s="693"/>
      <c r="KLH4751" s="696"/>
      <c r="KLI4751" s="693"/>
      <c r="KLJ4751" s="696"/>
      <c r="KLK4751" s="693"/>
      <c r="KLL4751" s="696"/>
      <c r="KLM4751" s="693"/>
      <c r="KLN4751" s="696"/>
      <c r="KLO4751" s="693"/>
      <c r="KLP4751" s="696"/>
      <c r="KLQ4751" s="693"/>
      <c r="KLR4751" s="696"/>
      <c r="KLS4751" s="693"/>
      <c r="KLT4751" s="696"/>
      <c r="KLU4751" s="693"/>
      <c r="KLV4751" s="696"/>
      <c r="KLW4751" s="693"/>
      <c r="KLX4751" s="696"/>
      <c r="KLY4751" s="693"/>
      <c r="KLZ4751" s="696"/>
      <c r="KMA4751" s="693"/>
      <c r="KMB4751" s="696"/>
      <c r="KMC4751" s="693"/>
      <c r="KMD4751" s="696"/>
      <c r="KME4751" s="693"/>
      <c r="KMF4751" s="696"/>
      <c r="KMG4751" s="693"/>
      <c r="KMH4751" s="696"/>
      <c r="KMI4751" s="693"/>
      <c r="KMJ4751" s="696"/>
      <c r="KMK4751" s="693"/>
      <c r="KML4751" s="696"/>
      <c r="KMM4751" s="693"/>
      <c r="KMN4751" s="696"/>
      <c r="KMO4751" s="693"/>
      <c r="KMP4751" s="696"/>
      <c r="KMQ4751" s="693"/>
      <c r="KMR4751" s="696"/>
      <c r="KMS4751" s="693"/>
      <c r="KMT4751" s="696"/>
      <c r="KMU4751" s="693"/>
      <c r="KMV4751" s="696"/>
      <c r="KMW4751" s="693"/>
      <c r="KMX4751" s="696"/>
      <c r="KMY4751" s="693"/>
      <c r="KMZ4751" s="696"/>
      <c r="KNA4751" s="693"/>
      <c r="KNB4751" s="696"/>
      <c r="KNC4751" s="693"/>
      <c r="KND4751" s="696"/>
      <c r="KNE4751" s="693"/>
      <c r="KNF4751" s="696"/>
      <c r="KNG4751" s="693"/>
      <c r="KNH4751" s="696"/>
      <c r="KNI4751" s="693"/>
      <c r="KNJ4751" s="696"/>
      <c r="KNK4751" s="693"/>
      <c r="KNL4751" s="696"/>
      <c r="KNM4751" s="693"/>
      <c r="KNN4751" s="696"/>
      <c r="KNO4751" s="693"/>
      <c r="KNP4751" s="696"/>
      <c r="KNQ4751" s="693"/>
      <c r="KNR4751" s="696"/>
      <c r="KNS4751" s="693"/>
      <c r="KNT4751" s="696"/>
      <c r="KNU4751" s="693"/>
      <c r="KNV4751" s="696"/>
      <c r="KNW4751" s="693"/>
      <c r="KNX4751" s="696"/>
      <c r="KNY4751" s="693"/>
      <c r="KNZ4751" s="696"/>
      <c r="KOA4751" s="693"/>
      <c r="KOB4751" s="696"/>
      <c r="KOC4751" s="693"/>
      <c r="KOD4751" s="696"/>
      <c r="KOE4751" s="693"/>
      <c r="KOF4751" s="696"/>
      <c r="KOG4751" s="693"/>
      <c r="KOH4751" s="696"/>
      <c r="KOI4751" s="693"/>
      <c r="KOJ4751" s="696"/>
      <c r="KOK4751" s="693"/>
      <c r="KOL4751" s="696"/>
      <c r="KOM4751" s="693"/>
      <c r="KON4751" s="696"/>
      <c r="KOO4751" s="693"/>
      <c r="KOP4751" s="696"/>
      <c r="KOQ4751" s="693"/>
      <c r="KOR4751" s="696"/>
      <c r="KOS4751" s="693"/>
      <c r="KOT4751" s="696"/>
      <c r="KOU4751" s="693"/>
      <c r="KOV4751" s="696"/>
      <c r="KOW4751" s="693"/>
      <c r="KOX4751" s="696"/>
      <c r="KOY4751" s="693"/>
      <c r="KOZ4751" s="696"/>
      <c r="KPA4751" s="693"/>
      <c r="KPB4751" s="696"/>
      <c r="KPC4751" s="693"/>
      <c r="KPD4751" s="696"/>
      <c r="KPE4751" s="693"/>
      <c r="KPF4751" s="696"/>
      <c r="KPG4751" s="693"/>
      <c r="KPH4751" s="696"/>
      <c r="KPI4751" s="693"/>
      <c r="KPJ4751" s="696"/>
      <c r="KPK4751" s="693"/>
      <c r="KPL4751" s="696"/>
      <c r="KPM4751" s="693"/>
      <c r="KPN4751" s="696"/>
      <c r="KPO4751" s="693"/>
      <c r="KPP4751" s="696"/>
      <c r="KPQ4751" s="693"/>
      <c r="KPR4751" s="696"/>
      <c r="KPS4751" s="693"/>
      <c r="KPT4751" s="696"/>
      <c r="KPU4751" s="693"/>
      <c r="KPV4751" s="696"/>
      <c r="KPW4751" s="693"/>
      <c r="KPX4751" s="696"/>
      <c r="KPY4751" s="693"/>
      <c r="KPZ4751" s="696"/>
      <c r="KQA4751" s="693"/>
      <c r="KQB4751" s="696"/>
      <c r="KQC4751" s="693"/>
      <c r="KQD4751" s="696"/>
      <c r="KQE4751" s="693"/>
      <c r="KQF4751" s="696"/>
      <c r="KQG4751" s="693"/>
      <c r="KQH4751" s="696"/>
      <c r="KQI4751" s="693"/>
      <c r="KQJ4751" s="696"/>
      <c r="KQK4751" s="693"/>
      <c r="KQL4751" s="696"/>
      <c r="KQM4751" s="693"/>
      <c r="KQN4751" s="696"/>
      <c r="KQO4751" s="693"/>
      <c r="KQP4751" s="696"/>
      <c r="KQQ4751" s="693"/>
      <c r="KQR4751" s="696"/>
      <c r="KQS4751" s="693"/>
      <c r="KQT4751" s="696"/>
      <c r="KQU4751" s="693"/>
      <c r="KQV4751" s="696"/>
      <c r="KQW4751" s="693"/>
      <c r="KQX4751" s="696"/>
      <c r="KQY4751" s="693"/>
      <c r="KQZ4751" s="696"/>
      <c r="KRA4751" s="693"/>
      <c r="KRB4751" s="696"/>
      <c r="KRC4751" s="693"/>
      <c r="KRD4751" s="696"/>
      <c r="KRE4751" s="693"/>
      <c r="KRF4751" s="696"/>
      <c r="KRG4751" s="693"/>
      <c r="KRH4751" s="696"/>
      <c r="KRI4751" s="693"/>
      <c r="KRJ4751" s="696"/>
      <c r="KRK4751" s="693"/>
      <c r="KRL4751" s="696"/>
      <c r="KRM4751" s="693"/>
      <c r="KRN4751" s="696"/>
      <c r="KRO4751" s="693"/>
      <c r="KRP4751" s="696"/>
      <c r="KRQ4751" s="693"/>
      <c r="KRR4751" s="696"/>
      <c r="KRS4751" s="693"/>
      <c r="KRT4751" s="696"/>
      <c r="KRU4751" s="693"/>
      <c r="KRV4751" s="696"/>
      <c r="KRW4751" s="693"/>
      <c r="KRX4751" s="696"/>
      <c r="KRY4751" s="693"/>
      <c r="KRZ4751" s="696"/>
      <c r="KSA4751" s="693"/>
      <c r="KSB4751" s="696"/>
      <c r="KSC4751" s="693"/>
      <c r="KSD4751" s="696"/>
      <c r="KSE4751" s="693"/>
      <c r="KSF4751" s="696"/>
      <c r="KSG4751" s="693"/>
      <c r="KSH4751" s="696"/>
      <c r="KSI4751" s="693"/>
      <c r="KSJ4751" s="696"/>
      <c r="KSK4751" s="693"/>
      <c r="KSL4751" s="696"/>
      <c r="KSM4751" s="693"/>
      <c r="KSN4751" s="696"/>
      <c r="KSO4751" s="693"/>
      <c r="KSP4751" s="696"/>
      <c r="KSQ4751" s="693"/>
      <c r="KSR4751" s="696"/>
      <c r="KSS4751" s="693"/>
      <c r="KST4751" s="696"/>
      <c r="KSU4751" s="693"/>
      <c r="KSV4751" s="696"/>
      <c r="KSW4751" s="693"/>
      <c r="KSX4751" s="696"/>
      <c r="KSY4751" s="693"/>
      <c r="KSZ4751" s="696"/>
      <c r="KTA4751" s="693"/>
      <c r="KTB4751" s="696"/>
      <c r="KTC4751" s="693"/>
      <c r="KTD4751" s="696"/>
      <c r="KTE4751" s="693"/>
      <c r="KTF4751" s="696"/>
      <c r="KTG4751" s="693"/>
      <c r="KTH4751" s="696"/>
      <c r="KTI4751" s="693"/>
      <c r="KTJ4751" s="696"/>
      <c r="KTK4751" s="693"/>
      <c r="KTL4751" s="696"/>
      <c r="KTM4751" s="693"/>
      <c r="KTN4751" s="696"/>
      <c r="KTO4751" s="693"/>
      <c r="KTP4751" s="696"/>
      <c r="KTQ4751" s="693"/>
      <c r="KTR4751" s="696"/>
      <c r="KTS4751" s="693"/>
      <c r="KTT4751" s="696"/>
      <c r="KTU4751" s="693"/>
      <c r="KTV4751" s="696"/>
      <c r="KTW4751" s="693"/>
      <c r="KTX4751" s="696"/>
      <c r="KTY4751" s="693"/>
      <c r="KTZ4751" s="696"/>
      <c r="KUA4751" s="693"/>
      <c r="KUB4751" s="696"/>
      <c r="KUC4751" s="693"/>
      <c r="KUD4751" s="696"/>
      <c r="KUE4751" s="693"/>
      <c r="KUF4751" s="696"/>
      <c r="KUG4751" s="693"/>
      <c r="KUH4751" s="696"/>
      <c r="KUI4751" s="693"/>
      <c r="KUJ4751" s="696"/>
      <c r="KUK4751" s="693"/>
      <c r="KUL4751" s="696"/>
      <c r="KUM4751" s="693"/>
      <c r="KUN4751" s="696"/>
      <c r="KUO4751" s="693"/>
      <c r="KUP4751" s="696"/>
      <c r="KUQ4751" s="693"/>
      <c r="KUR4751" s="696"/>
      <c r="KUS4751" s="693"/>
      <c r="KUT4751" s="696"/>
      <c r="KUU4751" s="693"/>
      <c r="KUV4751" s="696"/>
      <c r="KUW4751" s="693"/>
      <c r="KUX4751" s="696"/>
      <c r="KUY4751" s="693"/>
      <c r="KUZ4751" s="696"/>
      <c r="KVA4751" s="693"/>
      <c r="KVB4751" s="696"/>
      <c r="KVC4751" s="693"/>
      <c r="KVD4751" s="696"/>
      <c r="KVE4751" s="693"/>
      <c r="KVF4751" s="696"/>
      <c r="KVG4751" s="693"/>
      <c r="KVH4751" s="696"/>
      <c r="KVI4751" s="693"/>
      <c r="KVJ4751" s="696"/>
      <c r="KVK4751" s="693"/>
      <c r="KVL4751" s="696"/>
      <c r="KVM4751" s="693"/>
      <c r="KVN4751" s="696"/>
      <c r="KVO4751" s="693"/>
      <c r="KVP4751" s="696"/>
      <c r="KVQ4751" s="693"/>
      <c r="KVR4751" s="696"/>
      <c r="KVS4751" s="693"/>
      <c r="KVT4751" s="696"/>
      <c r="KVU4751" s="693"/>
      <c r="KVV4751" s="696"/>
      <c r="KVW4751" s="693"/>
      <c r="KVX4751" s="696"/>
      <c r="KVY4751" s="693"/>
      <c r="KVZ4751" s="696"/>
      <c r="KWA4751" s="693"/>
      <c r="KWB4751" s="696"/>
      <c r="KWC4751" s="693"/>
      <c r="KWD4751" s="696"/>
      <c r="KWE4751" s="693"/>
      <c r="KWF4751" s="696"/>
      <c r="KWG4751" s="693"/>
      <c r="KWH4751" s="696"/>
      <c r="KWI4751" s="693"/>
      <c r="KWJ4751" s="696"/>
      <c r="KWK4751" s="693"/>
      <c r="KWL4751" s="696"/>
      <c r="KWM4751" s="693"/>
      <c r="KWN4751" s="696"/>
      <c r="KWO4751" s="693"/>
      <c r="KWP4751" s="696"/>
      <c r="KWQ4751" s="693"/>
      <c r="KWR4751" s="696"/>
      <c r="KWS4751" s="693"/>
      <c r="KWT4751" s="696"/>
      <c r="KWU4751" s="693"/>
      <c r="KWV4751" s="696"/>
      <c r="KWW4751" s="693"/>
      <c r="KWX4751" s="696"/>
      <c r="KWY4751" s="693"/>
      <c r="KWZ4751" s="696"/>
      <c r="KXA4751" s="693"/>
      <c r="KXB4751" s="696"/>
      <c r="KXC4751" s="693"/>
      <c r="KXD4751" s="696"/>
      <c r="KXE4751" s="693"/>
      <c r="KXF4751" s="696"/>
      <c r="KXG4751" s="693"/>
      <c r="KXH4751" s="696"/>
      <c r="KXI4751" s="693"/>
      <c r="KXJ4751" s="696"/>
      <c r="KXK4751" s="693"/>
      <c r="KXL4751" s="696"/>
      <c r="KXM4751" s="693"/>
      <c r="KXN4751" s="696"/>
      <c r="KXO4751" s="693"/>
      <c r="KXP4751" s="696"/>
      <c r="KXQ4751" s="693"/>
      <c r="KXR4751" s="696"/>
      <c r="KXS4751" s="693"/>
      <c r="KXT4751" s="696"/>
      <c r="KXU4751" s="693"/>
      <c r="KXV4751" s="696"/>
      <c r="KXW4751" s="693"/>
      <c r="KXX4751" s="696"/>
      <c r="KXY4751" s="693"/>
      <c r="KXZ4751" s="696"/>
      <c r="KYA4751" s="693"/>
      <c r="KYB4751" s="696"/>
      <c r="KYC4751" s="693"/>
      <c r="KYD4751" s="696"/>
      <c r="KYE4751" s="693"/>
      <c r="KYF4751" s="696"/>
      <c r="KYG4751" s="693"/>
      <c r="KYH4751" s="696"/>
      <c r="KYI4751" s="693"/>
      <c r="KYJ4751" s="696"/>
      <c r="KYK4751" s="693"/>
      <c r="KYL4751" s="696"/>
      <c r="KYM4751" s="693"/>
      <c r="KYN4751" s="696"/>
      <c r="KYO4751" s="693"/>
      <c r="KYP4751" s="696"/>
      <c r="KYQ4751" s="693"/>
      <c r="KYR4751" s="696"/>
      <c r="KYS4751" s="693"/>
      <c r="KYT4751" s="696"/>
      <c r="KYU4751" s="693"/>
      <c r="KYV4751" s="696"/>
      <c r="KYW4751" s="693"/>
      <c r="KYX4751" s="696"/>
      <c r="KYY4751" s="693"/>
      <c r="KYZ4751" s="696"/>
      <c r="KZA4751" s="693"/>
      <c r="KZB4751" s="696"/>
      <c r="KZC4751" s="693"/>
      <c r="KZD4751" s="696"/>
      <c r="KZE4751" s="693"/>
      <c r="KZF4751" s="696"/>
      <c r="KZG4751" s="693"/>
      <c r="KZH4751" s="696"/>
      <c r="KZI4751" s="693"/>
      <c r="KZJ4751" s="696"/>
      <c r="KZK4751" s="693"/>
      <c r="KZL4751" s="696"/>
      <c r="KZM4751" s="693"/>
      <c r="KZN4751" s="696"/>
      <c r="KZO4751" s="693"/>
      <c r="KZP4751" s="696"/>
      <c r="KZQ4751" s="693"/>
      <c r="KZR4751" s="696"/>
      <c r="KZS4751" s="693"/>
      <c r="KZT4751" s="696"/>
      <c r="KZU4751" s="693"/>
      <c r="KZV4751" s="696"/>
      <c r="KZW4751" s="693"/>
      <c r="KZX4751" s="696"/>
      <c r="KZY4751" s="693"/>
      <c r="KZZ4751" s="696"/>
      <c r="LAA4751" s="693"/>
      <c r="LAB4751" s="696"/>
      <c r="LAC4751" s="693"/>
      <c r="LAD4751" s="696"/>
      <c r="LAE4751" s="693"/>
      <c r="LAF4751" s="696"/>
      <c r="LAG4751" s="693"/>
      <c r="LAH4751" s="696"/>
      <c r="LAI4751" s="693"/>
      <c r="LAJ4751" s="696"/>
      <c r="LAK4751" s="693"/>
      <c r="LAL4751" s="696"/>
      <c r="LAM4751" s="693"/>
      <c r="LAN4751" s="696"/>
      <c r="LAO4751" s="693"/>
      <c r="LAP4751" s="696"/>
      <c r="LAQ4751" s="693"/>
      <c r="LAR4751" s="696"/>
      <c r="LAS4751" s="693"/>
      <c r="LAT4751" s="696"/>
      <c r="LAU4751" s="693"/>
      <c r="LAV4751" s="696"/>
      <c r="LAW4751" s="693"/>
      <c r="LAX4751" s="696"/>
      <c r="LAY4751" s="693"/>
      <c r="LAZ4751" s="696"/>
      <c r="LBA4751" s="693"/>
      <c r="LBB4751" s="696"/>
      <c r="LBC4751" s="693"/>
      <c r="LBD4751" s="696"/>
      <c r="LBE4751" s="693"/>
      <c r="LBF4751" s="696"/>
      <c r="LBG4751" s="693"/>
      <c r="LBH4751" s="696"/>
      <c r="LBI4751" s="693"/>
      <c r="LBJ4751" s="696"/>
      <c r="LBK4751" s="693"/>
      <c r="LBL4751" s="696"/>
      <c r="LBM4751" s="693"/>
      <c r="LBN4751" s="696"/>
      <c r="LBO4751" s="693"/>
      <c r="LBP4751" s="696"/>
      <c r="LBQ4751" s="693"/>
      <c r="LBR4751" s="696"/>
      <c r="LBS4751" s="693"/>
      <c r="LBT4751" s="696"/>
      <c r="LBU4751" s="693"/>
      <c r="LBV4751" s="696"/>
      <c r="LBW4751" s="693"/>
      <c r="LBX4751" s="696"/>
      <c r="LBY4751" s="693"/>
      <c r="LBZ4751" s="696"/>
      <c r="LCA4751" s="693"/>
      <c r="LCB4751" s="696"/>
      <c r="LCC4751" s="693"/>
      <c r="LCD4751" s="696"/>
      <c r="LCE4751" s="693"/>
      <c r="LCF4751" s="696"/>
      <c r="LCG4751" s="693"/>
      <c r="LCH4751" s="696"/>
      <c r="LCI4751" s="693"/>
      <c r="LCJ4751" s="696"/>
      <c r="LCK4751" s="693"/>
      <c r="LCL4751" s="696"/>
      <c r="LCM4751" s="693"/>
      <c r="LCN4751" s="696"/>
      <c r="LCO4751" s="693"/>
      <c r="LCP4751" s="696"/>
      <c r="LCQ4751" s="693"/>
      <c r="LCR4751" s="696"/>
      <c r="LCS4751" s="693"/>
      <c r="LCT4751" s="696"/>
      <c r="LCU4751" s="693"/>
      <c r="LCV4751" s="696"/>
      <c r="LCW4751" s="693"/>
      <c r="LCX4751" s="696"/>
      <c r="LCY4751" s="693"/>
      <c r="LCZ4751" s="696"/>
      <c r="LDA4751" s="693"/>
      <c r="LDB4751" s="696"/>
      <c r="LDC4751" s="693"/>
      <c r="LDD4751" s="696"/>
      <c r="LDE4751" s="693"/>
      <c r="LDF4751" s="696"/>
      <c r="LDG4751" s="693"/>
      <c r="LDH4751" s="696"/>
      <c r="LDI4751" s="693"/>
      <c r="LDJ4751" s="696"/>
      <c r="LDK4751" s="693"/>
      <c r="LDL4751" s="696"/>
      <c r="LDM4751" s="693"/>
      <c r="LDN4751" s="696"/>
      <c r="LDO4751" s="693"/>
      <c r="LDP4751" s="696"/>
      <c r="LDQ4751" s="693"/>
      <c r="LDR4751" s="696"/>
      <c r="LDS4751" s="693"/>
      <c r="LDT4751" s="696"/>
      <c r="LDU4751" s="693"/>
      <c r="LDV4751" s="696"/>
      <c r="LDW4751" s="693"/>
      <c r="LDX4751" s="696"/>
      <c r="LDY4751" s="693"/>
      <c r="LDZ4751" s="696"/>
      <c r="LEA4751" s="693"/>
      <c r="LEB4751" s="696"/>
      <c r="LEC4751" s="693"/>
      <c r="LED4751" s="696"/>
      <c r="LEE4751" s="693"/>
      <c r="LEF4751" s="696"/>
      <c r="LEG4751" s="693"/>
      <c r="LEH4751" s="696"/>
      <c r="LEI4751" s="693"/>
      <c r="LEJ4751" s="696"/>
      <c r="LEK4751" s="693"/>
      <c r="LEL4751" s="696"/>
      <c r="LEM4751" s="693"/>
      <c r="LEN4751" s="696"/>
      <c r="LEO4751" s="693"/>
      <c r="LEP4751" s="696"/>
      <c r="LEQ4751" s="693"/>
      <c r="LER4751" s="696"/>
      <c r="LES4751" s="693"/>
      <c r="LET4751" s="696"/>
      <c r="LEU4751" s="693"/>
      <c r="LEV4751" s="696"/>
      <c r="LEW4751" s="693"/>
      <c r="LEX4751" s="696"/>
      <c r="LEY4751" s="693"/>
      <c r="LEZ4751" s="696"/>
      <c r="LFA4751" s="693"/>
      <c r="LFB4751" s="696"/>
      <c r="LFC4751" s="693"/>
      <c r="LFD4751" s="696"/>
      <c r="LFE4751" s="693"/>
      <c r="LFF4751" s="696"/>
      <c r="LFG4751" s="693"/>
      <c r="LFH4751" s="696"/>
      <c r="LFI4751" s="693"/>
      <c r="LFJ4751" s="696"/>
      <c r="LFK4751" s="693"/>
      <c r="LFL4751" s="696"/>
      <c r="LFM4751" s="693"/>
      <c r="LFN4751" s="696"/>
      <c r="LFO4751" s="693"/>
      <c r="LFP4751" s="696"/>
      <c r="LFQ4751" s="693"/>
      <c r="LFR4751" s="696"/>
      <c r="LFS4751" s="693"/>
      <c r="LFT4751" s="696"/>
      <c r="LFU4751" s="693"/>
      <c r="LFV4751" s="696"/>
      <c r="LFW4751" s="693"/>
      <c r="LFX4751" s="696"/>
      <c r="LFY4751" s="693"/>
      <c r="LFZ4751" s="696"/>
      <c r="LGA4751" s="693"/>
      <c r="LGB4751" s="696"/>
      <c r="LGC4751" s="693"/>
      <c r="LGD4751" s="696"/>
      <c r="LGE4751" s="693"/>
      <c r="LGF4751" s="696"/>
      <c r="LGG4751" s="693"/>
      <c r="LGH4751" s="696"/>
      <c r="LGI4751" s="693"/>
      <c r="LGJ4751" s="696"/>
      <c r="LGK4751" s="693"/>
      <c r="LGL4751" s="696"/>
      <c r="LGM4751" s="693"/>
      <c r="LGN4751" s="696"/>
      <c r="LGO4751" s="693"/>
      <c r="LGP4751" s="696"/>
      <c r="LGQ4751" s="693"/>
      <c r="LGR4751" s="696"/>
      <c r="LGS4751" s="693"/>
      <c r="LGT4751" s="696"/>
      <c r="LGU4751" s="693"/>
      <c r="LGV4751" s="696"/>
      <c r="LGW4751" s="693"/>
      <c r="LGX4751" s="696"/>
      <c r="LGY4751" s="693"/>
      <c r="LGZ4751" s="696"/>
      <c r="LHA4751" s="693"/>
      <c r="LHB4751" s="696"/>
      <c r="LHC4751" s="693"/>
      <c r="LHD4751" s="696"/>
      <c r="LHE4751" s="693"/>
      <c r="LHF4751" s="696"/>
      <c r="LHG4751" s="693"/>
      <c r="LHH4751" s="696"/>
      <c r="LHI4751" s="693"/>
      <c r="LHJ4751" s="696"/>
      <c r="LHK4751" s="693"/>
      <c r="LHL4751" s="696"/>
      <c r="LHM4751" s="693"/>
      <c r="LHN4751" s="696"/>
      <c r="LHO4751" s="693"/>
      <c r="LHP4751" s="696"/>
      <c r="LHQ4751" s="693"/>
      <c r="LHR4751" s="696"/>
      <c r="LHS4751" s="693"/>
      <c r="LHT4751" s="696"/>
      <c r="LHU4751" s="693"/>
      <c r="LHV4751" s="696"/>
      <c r="LHW4751" s="693"/>
      <c r="LHX4751" s="696"/>
      <c r="LHY4751" s="693"/>
      <c r="LHZ4751" s="696"/>
      <c r="LIA4751" s="693"/>
      <c r="LIB4751" s="696"/>
      <c r="LIC4751" s="693"/>
      <c r="LID4751" s="696"/>
      <c r="LIE4751" s="693"/>
      <c r="LIF4751" s="696"/>
      <c r="LIG4751" s="693"/>
      <c r="LIH4751" s="696"/>
      <c r="LII4751" s="693"/>
      <c r="LIJ4751" s="696"/>
      <c r="LIK4751" s="693"/>
      <c r="LIL4751" s="696"/>
      <c r="LIM4751" s="693"/>
      <c r="LIN4751" s="696"/>
      <c r="LIO4751" s="693"/>
      <c r="LIP4751" s="696"/>
      <c r="LIQ4751" s="693"/>
      <c r="LIR4751" s="696"/>
      <c r="LIS4751" s="693"/>
      <c r="LIT4751" s="696"/>
      <c r="LIU4751" s="693"/>
      <c r="LIV4751" s="696"/>
      <c r="LIW4751" s="693"/>
      <c r="LIX4751" s="696"/>
      <c r="LIY4751" s="693"/>
      <c r="LIZ4751" s="696"/>
      <c r="LJA4751" s="693"/>
      <c r="LJB4751" s="696"/>
      <c r="LJC4751" s="693"/>
      <c r="LJD4751" s="696"/>
      <c r="LJE4751" s="693"/>
      <c r="LJF4751" s="696"/>
      <c r="LJG4751" s="693"/>
      <c r="LJH4751" s="696"/>
      <c r="LJI4751" s="693"/>
      <c r="LJJ4751" s="696"/>
      <c r="LJK4751" s="693"/>
      <c r="LJL4751" s="696"/>
      <c r="LJM4751" s="693"/>
      <c r="LJN4751" s="696"/>
      <c r="LJO4751" s="693"/>
      <c r="LJP4751" s="696"/>
      <c r="LJQ4751" s="693"/>
      <c r="LJR4751" s="696"/>
      <c r="LJS4751" s="693"/>
      <c r="LJT4751" s="696"/>
      <c r="LJU4751" s="693"/>
      <c r="LJV4751" s="696"/>
      <c r="LJW4751" s="693"/>
      <c r="LJX4751" s="696"/>
      <c r="LJY4751" s="693"/>
      <c r="LJZ4751" s="696"/>
      <c r="LKA4751" s="693"/>
      <c r="LKB4751" s="696"/>
      <c r="LKC4751" s="693"/>
      <c r="LKD4751" s="696"/>
      <c r="LKE4751" s="693"/>
      <c r="LKF4751" s="696"/>
      <c r="LKG4751" s="693"/>
      <c r="LKH4751" s="696"/>
      <c r="LKI4751" s="693"/>
      <c r="LKJ4751" s="696"/>
      <c r="LKK4751" s="693"/>
      <c r="LKL4751" s="696"/>
      <c r="LKM4751" s="693"/>
      <c r="LKN4751" s="696"/>
      <c r="LKO4751" s="693"/>
      <c r="LKP4751" s="696"/>
      <c r="LKQ4751" s="693"/>
      <c r="LKR4751" s="696"/>
      <c r="LKS4751" s="693"/>
      <c r="LKT4751" s="696"/>
      <c r="LKU4751" s="693"/>
      <c r="LKV4751" s="696"/>
      <c r="LKW4751" s="693"/>
      <c r="LKX4751" s="696"/>
      <c r="LKY4751" s="693"/>
      <c r="LKZ4751" s="696"/>
      <c r="LLA4751" s="693"/>
      <c r="LLB4751" s="696"/>
      <c r="LLC4751" s="693"/>
      <c r="LLD4751" s="696"/>
      <c r="LLE4751" s="693"/>
      <c r="LLF4751" s="696"/>
      <c r="LLG4751" s="693"/>
      <c r="LLH4751" s="696"/>
      <c r="LLI4751" s="693"/>
      <c r="LLJ4751" s="696"/>
      <c r="LLK4751" s="693"/>
      <c r="LLL4751" s="696"/>
      <c r="LLM4751" s="693"/>
      <c r="LLN4751" s="696"/>
      <c r="LLO4751" s="693"/>
      <c r="LLP4751" s="696"/>
      <c r="LLQ4751" s="693"/>
      <c r="LLR4751" s="696"/>
      <c r="LLS4751" s="693"/>
      <c r="LLT4751" s="696"/>
      <c r="LLU4751" s="693"/>
      <c r="LLV4751" s="696"/>
      <c r="LLW4751" s="693"/>
      <c r="LLX4751" s="696"/>
      <c r="LLY4751" s="693"/>
      <c r="LLZ4751" s="696"/>
      <c r="LMA4751" s="693"/>
      <c r="LMB4751" s="696"/>
      <c r="LMC4751" s="693"/>
      <c r="LMD4751" s="696"/>
      <c r="LME4751" s="693"/>
      <c r="LMF4751" s="696"/>
      <c r="LMG4751" s="693"/>
      <c r="LMH4751" s="696"/>
      <c r="LMI4751" s="693"/>
      <c r="LMJ4751" s="696"/>
      <c r="LMK4751" s="693"/>
      <c r="LML4751" s="696"/>
      <c r="LMM4751" s="693"/>
      <c r="LMN4751" s="696"/>
      <c r="LMO4751" s="693"/>
      <c r="LMP4751" s="696"/>
      <c r="LMQ4751" s="693"/>
      <c r="LMR4751" s="696"/>
      <c r="LMS4751" s="693"/>
      <c r="LMT4751" s="696"/>
      <c r="LMU4751" s="693"/>
      <c r="LMV4751" s="696"/>
      <c r="LMW4751" s="693"/>
      <c r="LMX4751" s="696"/>
      <c r="LMY4751" s="693"/>
      <c r="LMZ4751" s="696"/>
      <c r="LNA4751" s="693"/>
      <c r="LNB4751" s="696"/>
      <c r="LNC4751" s="693"/>
      <c r="LND4751" s="696"/>
      <c r="LNE4751" s="693"/>
      <c r="LNF4751" s="696"/>
      <c r="LNG4751" s="693"/>
      <c r="LNH4751" s="696"/>
      <c r="LNI4751" s="693"/>
      <c r="LNJ4751" s="696"/>
      <c r="LNK4751" s="693"/>
      <c r="LNL4751" s="696"/>
      <c r="LNM4751" s="693"/>
      <c r="LNN4751" s="696"/>
      <c r="LNO4751" s="693"/>
      <c r="LNP4751" s="696"/>
      <c r="LNQ4751" s="693"/>
      <c r="LNR4751" s="696"/>
      <c r="LNS4751" s="693"/>
      <c r="LNT4751" s="696"/>
      <c r="LNU4751" s="693"/>
      <c r="LNV4751" s="696"/>
      <c r="LNW4751" s="693"/>
      <c r="LNX4751" s="696"/>
      <c r="LNY4751" s="693"/>
      <c r="LNZ4751" s="696"/>
      <c r="LOA4751" s="693"/>
      <c r="LOB4751" s="696"/>
      <c r="LOC4751" s="693"/>
      <c r="LOD4751" s="696"/>
      <c r="LOE4751" s="693"/>
      <c r="LOF4751" s="696"/>
      <c r="LOG4751" s="693"/>
      <c r="LOH4751" s="696"/>
      <c r="LOI4751" s="693"/>
      <c r="LOJ4751" s="696"/>
      <c r="LOK4751" s="693"/>
      <c r="LOL4751" s="696"/>
      <c r="LOM4751" s="693"/>
      <c r="LON4751" s="696"/>
      <c r="LOO4751" s="693"/>
      <c r="LOP4751" s="696"/>
      <c r="LOQ4751" s="693"/>
      <c r="LOR4751" s="696"/>
      <c r="LOS4751" s="693"/>
      <c r="LOT4751" s="696"/>
      <c r="LOU4751" s="693"/>
      <c r="LOV4751" s="696"/>
      <c r="LOW4751" s="693"/>
      <c r="LOX4751" s="696"/>
      <c r="LOY4751" s="693"/>
      <c r="LOZ4751" s="696"/>
      <c r="LPA4751" s="693"/>
      <c r="LPB4751" s="696"/>
      <c r="LPC4751" s="693"/>
      <c r="LPD4751" s="696"/>
      <c r="LPE4751" s="693"/>
      <c r="LPF4751" s="696"/>
      <c r="LPG4751" s="693"/>
      <c r="LPH4751" s="696"/>
      <c r="LPI4751" s="693"/>
      <c r="LPJ4751" s="696"/>
      <c r="LPK4751" s="693"/>
      <c r="LPL4751" s="696"/>
      <c r="LPM4751" s="693"/>
      <c r="LPN4751" s="696"/>
      <c r="LPO4751" s="693"/>
      <c r="LPP4751" s="696"/>
      <c r="LPQ4751" s="693"/>
      <c r="LPR4751" s="696"/>
      <c r="LPS4751" s="693"/>
      <c r="LPT4751" s="696"/>
      <c r="LPU4751" s="693"/>
      <c r="LPV4751" s="696"/>
      <c r="LPW4751" s="693"/>
      <c r="LPX4751" s="696"/>
      <c r="LPY4751" s="693"/>
      <c r="LPZ4751" s="696"/>
      <c r="LQA4751" s="693"/>
      <c r="LQB4751" s="696"/>
      <c r="LQC4751" s="693"/>
      <c r="LQD4751" s="696"/>
      <c r="LQE4751" s="693"/>
      <c r="LQF4751" s="696"/>
      <c r="LQG4751" s="693"/>
      <c r="LQH4751" s="696"/>
      <c r="LQI4751" s="693"/>
      <c r="LQJ4751" s="696"/>
      <c r="LQK4751" s="693"/>
      <c r="LQL4751" s="696"/>
      <c r="LQM4751" s="693"/>
      <c r="LQN4751" s="696"/>
      <c r="LQO4751" s="693"/>
      <c r="LQP4751" s="696"/>
      <c r="LQQ4751" s="693"/>
      <c r="LQR4751" s="696"/>
      <c r="LQS4751" s="693"/>
      <c r="LQT4751" s="696"/>
      <c r="LQU4751" s="693"/>
      <c r="LQV4751" s="696"/>
      <c r="LQW4751" s="693"/>
      <c r="LQX4751" s="696"/>
      <c r="LQY4751" s="693"/>
      <c r="LQZ4751" s="696"/>
      <c r="LRA4751" s="693"/>
      <c r="LRB4751" s="696"/>
      <c r="LRC4751" s="693"/>
      <c r="LRD4751" s="696"/>
      <c r="LRE4751" s="693"/>
      <c r="LRF4751" s="696"/>
      <c r="LRG4751" s="693"/>
      <c r="LRH4751" s="696"/>
      <c r="LRI4751" s="693"/>
      <c r="LRJ4751" s="696"/>
      <c r="LRK4751" s="693"/>
      <c r="LRL4751" s="696"/>
      <c r="LRM4751" s="693"/>
      <c r="LRN4751" s="696"/>
      <c r="LRO4751" s="693"/>
      <c r="LRP4751" s="696"/>
      <c r="LRQ4751" s="693"/>
      <c r="LRR4751" s="696"/>
      <c r="LRS4751" s="693"/>
      <c r="LRT4751" s="696"/>
      <c r="LRU4751" s="693"/>
      <c r="LRV4751" s="696"/>
      <c r="LRW4751" s="693"/>
      <c r="LRX4751" s="696"/>
      <c r="LRY4751" s="693"/>
      <c r="LRZ4751" s="696"/>
      <c r="LSA4751" s="693"/>
      <c r="LSB4751" s="696"/>
      <c r="LSC4751" s="693"/>
      <c r="LSD4751" s="696"/>
      <c r="LSE4751" s="693"/>
      <c r="LSF4751" s="696"/>
      <c r="LSG4751" s="693"/>
      <c r="LSH4751" s="696"/>
      <c r="LSI4751" s="693"/>
      <c r="LSJ4751" s="696"/>
      <c r="LSK4751" s="693"/>
      <c r="LSL4751" s="696"/>
      <c r="LSM4751" s="693"/>
      <c r="LSN4751" s="696"/>
      <c r="LSO4751" s="693"/>
      <c r="LSP4751" s="696"/>
      <c r="LSQ4751" s="693"/>
      <c r="LSR4751" s="696"/>
      <c r="LSS4751" s="693"/>
      <c r="LST4751" s="696"/>
      <c r="LSU4751" s="693"/>
      <c r="LSV4751" s="696"/>
      <c r="LSW4751" s="693"/>
      <c r="LSX4751" s="696"/>
      <c r="LSY4751" s="693"/>
      <c r="LSZ4751" s="696"/>
      <c r="LTA4751" s="693"/>
      <c r="LTB4751" s="696"/>
      <c r="LTC4751" s="693"/>
      <c r="LTD4751" s="696"/>
      <c r="LTE4751" s="693"/>
      <c r="LTF4751" s="696"/>
      <c r="LTG4751" s="693"/>
      <c r="LTH4751" s="696"/>
      <c r="LTI4751" s="693"/>
      <c r="LTJ4751" s="696"/>
      <c r="LTK4751" s="693"/>
      <c r="LTL4751" s="696"/>
      <c r="LTM4751" s="693"/>
      <c r="LTN4751" s="696"/>
      <c r="LTO4751" s="693"/>
      <c r="LTP4751" s="696"/>
      <c r="LTQ4751" s="693"/>
      <c r="LTR4751" s="696"/>
      <c r="LTS4751" s="693"/>
      <c r="LTT4751" s="696"/>
      <c r="LTU4751" s="693"/>
      <c r="LTV4751" s="696"/>
      <c r="LTW4751" s="693"/>
      <c r="LTX4751" s="696"/>
      <c r="LTY4751" s="693"/>
      <c r="LTZ4751" s="696"/>
      <c r="LUA4751" s="693"/>
      <c r="LUB4751" s="696"/>
      <c r="LUC4751" s="693"/>
      <c r="LUD4751" s="696"/>
      <c r="LUE4751" s="693"/>
      <c r="LUF4751" s="696"/>
      <c r="LUG4751" s="693"/>
      <c r="LUH4751" s="696"/>
      <c r="LUI4751" s="693"/>
      <c r="LUJ4751" s="696"/>
      <c r="LUK4751" s="693"/>
      <c r="LUL4751" s="696"/>
      <c r="LUM4751" s="693"/>
      <c r="LUN4751" s="696"/>
      <c r="LUO4751" s="693"/>
      <c r="LUP4751" s="696"/>
      <c r="LUQ4751" s="693"/>
      <c r="LUR4751" s="696"/>
      <c r="LUS4751" s="693"/>
      <c r="LUT4751" s="696"/>
      <c r="LUU4751" s="693"/>
      <c r="LUV4751" s="696"/>
      <c r="LUW4751" s="693"/>
      <c r="LUX4751" s="696"/>
      <c r="LUY4751" s="693"/>
      <c r="LUZ4751" s="696"/>
      <c r="LVA4751" s="693"/>
      <c r="LVB4751" s="696"/>
      <c r="LVC4751" s="693"/>
      <c r="LVD4751" s="696"/>
      <c r="LVE4751" s="693"/>
      <c r="LVF4751" s="696"/>
      <c r="LVG4751" s="693"/>
      <c r="LVH4751" s="696"/>
      <c r="LVI4751" s="693"/>
      <c r="LVJ4751" s="696"/>
      <c r="LVK4751" s="693"/>
      <c r="LVL4751" s="696"/>
      <c r="LVM4751" s="693"/>
      <c r="LVN4751" s="696"/>
      <c r="LVO4751" s="693"/>
      <c r="LVP4751" s="696"/>
      <c r="LVQ4751" s="693"/>
      <c r="LVR4751" s="696"/>
      <c r="LVS4751" s="693"/>
      <c r="LVT4751" s="696"/>
      <c r="LVU4751" s="693"/>
      <c r="LVV4751" s="696"/>
      <c r="LVW4751" s="693"/>
      <c r="LVX4751" s="696"/>
      <c r="LVY4751" s="693"/>
      <c r="LVZ4751" s="696"/>
      <c r="LWA4751" s="693"/>
      <c r="LWB4751" s="696"/>
      <c r="LWC4751" s="693"/>
      <c r="LWD4751" s="696"/>
      <c r="LWE4751" s="693"/>
      <c r="LWF4751" s="696"/>
      <c r="LWG4751" s="693"/>
      <c r="LWH4751" s="696"/>
      <c r="LWI4751" s="693"/>
      <c r="LWJ4751" s="696"/>
      <c r="LWK4751" s="693"/>
      <c r="LWL4751" s="696"/>
      <c r="LWM4751" s="693"/>
      <c r="LWN4751" s="696"/>
      <c r="LWO4751" s="693"/>
      <c r="LWP4751" s="696"/>
      <c r="LWQ4751" s="693"/>
      <c r="LWR4751" s="696"/>
      <c r="LWS4751" s="693"/>
      <c r="LWT4751" s="696"/>
      <c r="LWU4751" s="693"/>
      <c r="LWV4751" s="696"/>
      <c r="LWW4751" s="693"/>
      <c r="LWX4751" s="696"/>
      <c r="LWY4751" s="693"/>
      <c r="LWZ4751" s="696"/>
      <c r="LXA4751" s="693"/>
      <c r="LXB4751" s="696"/>
      <c r="LXC4751" s="693"/>
      <c r="LXD4751" s="696"/>
      <c r="LXE4751" s="693"/>
      <c r="LXF4751" s="696"/>
      <c r="LXG4751" s="693"/>
      <c r="LXH4751" s="696"/>
      <c r="LXI4751" s="693"/>
      <c r="LXJ4751" s="696"/>
      <c r="LXK4751" s="693"/>
      <c r="LXL4751" s="696"/>
      <c r="LXM4751" s="693"/>
      <c r="LXN4751" s="696"/>
      <c r="LXO4751" s="693"/>
      <c r="LXP4751" s="696"/>
      <c r="LXQ4751" s="693"/>
      <c r="LXR4751" s="696"/>
      <c r="LXS4751" s="693"/>
      <c r="LXT4751" s="696"/>
      <c r="LXU4751" s="693"/>
      <c r="LXV4751" s="696"/>
      <c r="LXW4751" s="693"/>
      <c r="LXX4751" s="696"/>
      <c r="LXY4751" s="693"/>
      <c r="LXZ4751" s="696"/>
      <c r="LYA4751" s="693"/>
      <c r="LYB4751" s="696"/>
      <c r="LYC4751" s="693"/>
      <c r="LYD4751" s="696"/>
      <c r="LYE4751" s="693"/>
      <c r="LYF4751" s="696"/>
      <c r="LYG4751" s="693"/>
      <c r="LYH4751" s="696"/>
      <c r="LYI4751" s="693"/>
      <c r="LYJ4751" s="696"/>
      <c r="LYK4751" s="693"/>
      <c r="LYL4751" s="696"/>
      <c r="LYM4751" s="693"/>
      <c r="LYN4751" s="696"/>
      <c r="LYO4751" s="693"/>
      <c r="LYP4751" s="696"/>
      <c r="LYQ4751" s="693"/>
      <c r="LYR4751" s="696"/>
      <c r="LYS4751" s="693"/>
      <c r="LYT4751" s="696"/>
      <c r="LYU4751" s="693"/>
      <c r="LYV4751" s="696"/>
      <c r="LYW4751" s="693"/>
      <c r="LYX4751" s="696"/>
      <c r="LYY4751" s="693"/>
      <c r="LYZ4751" s="696"/>
      <c r="LZA4751" s="693"/>
      <c r="LZB4751" s="696"/>
      <c r="LZC4751" s="693"/>
      <c r="LZD4751" s="696"/>
      <c r="LZE4751" s="693"/>
      <c r="LZF4751" s="696"/>
      <c r="LZG4751" s="693"/>
      <c r="LZH4751" s="696"/>
      <c r="LZI4751" s="693"/>
      <c r="LZJ4751" s="696"/>
      <c r="LZK4751" s="693"/>
      <c r="LZL4751" s="696"/>
      <c r="LZM4751" s="693"/>
      <c r="LZN4751" s="696"/>
      <c r="LZO4751" s="693"/>
      <c r="LZP4751" s="696"/>
      <c r="LZQ4751" s="693"/>
      <c r="LZR4751" s="696"/>
      <c r="LZS4751" s="693"/>
      <c r="LZT4751" s="696"/>
      <c r="LZU4751" s="693"/>
      <c r="LZV4751" s="696"/>
      <c r="LZW4751" s="693"/>
      <c r="LZX4751" s="696"/>
      <c r="LZY4751" s="693"/>
      <c r="LZZ4751" s="696"/>
      <c r="MAA4751" s="693"/>
      <c r="MAB4751" s="696"/>
      <c r="MAC4751" s="693"/>
      <c r="MAD4751" s="696"/>
      <c r="MAE4751" s="693"/>
      <c r="MAF4751" s="696"/>
      <c r="MAG4751" s="693"/>
      <c r="MAH4751" s="696"/>
      <c r="MAI4751" s="693"/>
      <c r="MAJ4751" s="696"/>
      <c r="MAK4751" s="693"/>
      <c r="MAL4751" s="696"/>
      <c r="MAM4751" s="693"/>
      <c r="MAN4751" s="696"/>
      <c r="MAO4751" s="693"/>
      <c r="MAP4751" s="696"/>
      <c r="MAQ4751" s="693"/>
      <c r="MAR4751" s="696"/>
      <c r="MAS4751" s="693"/>
      <c r="MAT4751" s="696"/>
      <c r="MAU4751" s="693"/>
      <c r="MAV4751" s="696"/>
      <c r="MAW4751" s="693"/>
      <c r="MAX4751" s="696"/>
      <c r="MAY4751" s="693"/>
      <c r="MAZ4751" s="696"/>
      <c r="MBA4751" s="693"/>
      <c r="MBB4751" s="696"/>
      <c r="MBC4751" s="693"/>
      <c r="MBD4751" s="696"/>
      <c r="MBE4751" s="693"/>
      <c r="MBF4751" s="696"/>
      <c r="MBG4751" s="693"/>
      <c r="MBH4751" s="696"/>
      <c r="MBI4751" s="693"/>
      <c r="MBJ4751" s="696"/>
      <c r="MBK4751" s="693"/>
      <c r="MBL4751" s="696"/>
      <c r="MBM4751" s="693"/>
      <c r="MBN4751" s="696"/>
      <c r="MBO4751" s="693"/>
      <c r="MBP4751" s="696"/>
      <c r="MBQ4751" s="693"/>
      <c r="MBR4751" s="696"/>
      <c r="MBS4751" s="693"/>
      <c r="MBT4751" s="696"/>
      <c r="MBU4751" s="693"/>
      <c r="MBV4751" s="696"/>
      <c r="MBW4751" s="693"/>
      <c r="MBX4751" s="696"/>
      <c r="MBY4751" s="693"/>
      <c r="MBZ4751" s="696"/>
      <c r="MCA4751" s="693"/>
      <c r="MCB4751" s="696"/>
      <c r="MCC4751" s="693"/>
      <c r="MCD4751" s="696"/>
      <c r="MCE4751" s="693"/>
      <c r="MCF4751" s="696"/>
      <c r="MCG4751" s="693"/>
      <c r="MCH4751" s="696"/>
      <c r="MCI4751" s="693"/>
      <c r="MCJ4751" s="696"/>
      <c r="MCK4751" s="693"/>
      <c r="MCL4751" s="696"/>
      <c r="MCM4751" s="693"/>
      <c r="MCN4751" s="696"/>
      <c r="MCO4751" s="693"/>
      <c r="MCP4751" s="696"/>
      <c r="MCQ4751" s="693"/>
      <c r="MCR4751" s="696"/>
      <c r="MCS4751" s="693"/>
      <c r="MCT4751" s="696"/>
      <c r="MCU4751" s="693"/>
      <c r="MCV4751" s="696"/>
      <c r="MCW4751" s="693"/>
      <c r="MCX4751" s="696"/>
      <c r="MCY4751" s="693"/>
      <c r="MCZ4751" s="696"/>
      <c r="MDA4751" s="693"/>
      <c r="MDB4751" s="696"/>
      <c r="MDC4751" s="693"/>
      <c r="MDD4751" s="696"/>
      <c r="MDE4751" s="693"/>
      <c r="MDF4751" s="696"/>
      <c r="MDG4751" s="693"/>
      <c r="MDH4751" s="696"/>
      <c r="MDI4751" s="693"/>
      <c r="MDJ4751" s="696"/>
      <c r="MDK4751" s="693"/>
      <c r="MDL4751" s="696"/>
      <c r="MDM4751" s="693"/>
      <c r="MDN4751" s="696"/>
      <c r="MDO4751" s="693"/>
      <c r="MDP4751" s="696"/>
      <c r="MDQ4751" s="693"/>
      <c r="MDR4751" s="696"/>
      <c r="MDS4751" s="693"/>
      <c r="MDT4751" s="696"/>
      <c r="MDU4751" s="693"/>
      <c r="MDV4751" s="696"/>
      <c r="MDW4751" s="693"/>
      <c r="MDX4751" s="696"/>
      <c r="MDY4751" s="693"/>
      <c r="MDZ4751" s="696"/>
      <c r="MEA4751" s="693"/>
      <c r="MEB4751" s="696"/>
      <c r="MEC4751" s="693"/>
      <c r="MED4751" s="696"/>
      <c r="MEE4751" s="693"/>
      <c r="MEF4751" s="696"/>
      <c r="MEG4751" s="693"/>
      <c r="MEH4751" s="696"/>
      <c r="MEI4751" s="693"/>
      <c r="MEJ4751" s="696"/>
      <c r="MEK4751" s="693"/>
      <c r="MEL4751" s="696"/>
      <c r="MEM4751" s="693"/>
      <c r="MEN4751" s="696"/>
      <c r="MEO4751" s="693"/>
      <c r="MEP4751" s="696"/>
      <c r="MEQ4751" s="693"/>
      <c r="MER4751" s="696"/>
      <c r="MES4751" s="693"/>
      <c r="MET4751" s="696"/>
      <c r="MEU4751" s="693"/>
      <c r="MEV4751" s="696"/>
      <c r="MEW4751" s="693"/>
      <c r="MEX4751" s="696"/>
      <c r="MEY4751" s="693"/>
      <c r="MEZ4751" s="696"/>
      <c r="MFA4751" s="693"/>
      <c r="MFB4751" s="696"/>
      <c r="MFC4751" s="693"/>
      <c r="MFD4751" s="696"/>
      <c r="MFE4751" s="693"/>
      <c r="MFF4751" s="696"/>
      <c r="MFG4751" s="693"/>
      <c r="MFH4751" s="696"/>
      <c r="MFI4751" s="693"/>
      <c r="MFJ4751" s="696"/>
      <c r="MFK4751" s="693"/>
      <c r="MFL4751" s="696"/>
      <c r="MFM4751" s="693"/>
      <c r="MFN4751" s="696"/>
      <c r="MFO4751" s="693"/>
      <c r="MFP4751" s="696"/>
      <c r="MFQ4751" s="693"/>
      <c r="MFR4751" s="696"/>
      <c r="MFS4751" s="693"/>
      <c r="MFT4751" s="696"/>
      <c r="MFU4751" s="693"/>
      <c r="MFV4751" s="696"/>
      <c r="MFW4751" s="693"/>
      <c r="MFX4751" s="696"/>
      <c r="MFY4751" s="693"/>
      <c r="MFZ4751" s="696"/>
      <c r="MGA4751" s="693"/>
      <c r="MGB4751" s="696"/>
      <c r="MGC4751" s="693"/>
      <c r="MGD4751" s="696"/>
      <c r="MGE4751" s="693"/>
      <c r="MGF4751" s="696"/>
      <c r="MGG4751" s="693"/>
      <c r="MGH4751" s="696"/>
      <c r="MGI4751" s="693"/>
      <c r="MGJ4751" s="696"/>
      <c r="MGK4751" s="693"/>
      <c r="MGL4751" s="696"/>
      <c r="MGM4751" s="693"/>
      <c r="MGN4751" s="696"/>
      <c r="MGO4751" s="693"/>
      <c r="MGP4751" s="696"/>
      <c r="MGQ4751" s="693"/>
      <c r="MGR4751" s="696"/>
      <c r="MGS4751" s="693"/>
      <c r="MGT4751" s="696"/>
      <c r="MGU4751" s="693"/>
      <c r="MGV4751" s="696"/>
      <c r="MGW4751" s="693"/>
      <c r="MGX4751" s="696"/>
      <c r="MGY4751" s="693"/>
      <c r="MGZ4751" s="696"/>
      <c r="MHA4751" s="693"/>
      <c r="MHB4751" s="696"/>
      <c r="MHC4751" s="693"/>
      <c r="MHD4751" s="696"/>
      <c r="MHE4751" s="693"/>
      <c r="MHF4751" s="696"/>
      <c r="MHG4751" s="693"/>
      <c r="MHH4751" s="696"/>
      <c r="MHI4751" s="693"/>
      <c r="MHJ4751" s="696"/>
      <c r="MHK4751" s="693"/>
      <c r="MHL4751" s="696"/>
      <c r="MHM4751" s="693"/>
      <c r="MHN4751" s="696"/>
      <c r="MHO4751" s="693"/>
      <c r="MHP4751" s="696"/>
      <c r="MHQ4751" s="693"/>
      <c r="MHR4751" s="696"/>
      <c r="MHS4751" s="693"/>
      <c r="MHT4751" s="696"/>
      <c r="MHU4751" s="693"/>
      <c r="MHV4751" s="696"/>
      <c r="MHW4751" s="693"/>
      <c r="MHX4751" s="696"/>
      <c r="MHY4751" s="693"/>
      <c r="MHZ4751" s="696"/>
      <c r="MIA4751" s="693"/>
      <c r="MIB4751" s="696"/>
      <c r="MIC4751" s="693"/>
      <c r="MID4751" s="696"/>
      <c r="MIE4751" s="693"/>
      <c r="MIF4751" s="696"/>
      <c r="MIG4751" s="693"/>
      <c r="MIH4751" s="696"/>
      <c r="MII4751" s="693"/>
      <c r="MIJ4751" s="696"/>
      <c r="MIK4751" s="693"/>
      <c r="MIL4751" s="696"/>
      <c r="MIM4751" s="693"/>
      <c r="MIN4751" s="696"/>
      <c r="MIO4751" s="693"/>
      <c r="MIP4751" s="696"/>
      <c r="MIQ4751" s="693"/>
      <c r="MIR4751" s="696"/>
      <c r="MIS4751" s="693"/>
      <c r="MIT4751" s="696"/>
      <c r="MIU4751" s="693"/>
      <c r="MIV4751" s="696"/>
      <c r="MIW4751" s="693"/>
      <c r="MIX4751" s="696"/>
      <c r="MIY4751" s="693"/>
      <c r="MIZ4751" s="696"/>
      <c r="MJA4751" s="693"/>
      <c r="MJB4751" s="696"/>
      <c r="MJC4751" s="693"/>
      <c r="MJD4751" s="696"/>
      <c r="MJE4751" s="693"/>
      <c r="MJF4751" s="696"/>
      <c r="MJG4751" s="693"/>
      <c r="MJH4751" s="696"/>
      <c r="MJI4751" s="693"/>
      <c r="MJJ4751" s="696"/>
      <c r="MJK4751" s="693"/>
      <c r="MJL4751" s="696"/>
      <c r="MJM4751" s="693"/>
      <c r="MJN4751" s="696"/>
      <c r="MJO4751" s="693"/>
      <c r="MJP4751" s="696"/>
      <c r="MJQ4751" s="693"/>
      <c r="MJR4751" s="696"/>
      <c r="MJS4751" s="693"/>
      <c r="MJT4751" s="696"/>
      <c r="MJU4751" s="693"/>
      <c r="MJV4751" s="696"/>
      <c r="MJW4751" s="693"/>
      <c r="MJX4751" s="696"/>
      <c r="MJY4751" s="693"/>
      <c r="MJZ4751" s="696"/>
      <c r="MKA4751" s="693"/>
      <c r="MKB4751" s="696"/>
      <c r="MKC4751" s="693"/>
      <c r="MKD4751" s="696"/>
      <c r="MKE4751" s="693"/>
      <c r="MKF4751" s="696"/>
      <c r="MKG4751" s="693"/>
      <c r="MKH4751" s="696"/>
      <c r="MKI4751" s="693"/>
      <c r="MKJ4751" s="696"/>
      <c r="MKK4751" s="693"/>
      <c r="MKL4751" s="696"/>
      <c r="MKM4751" s="693"/>
      <c r="MKN4751" s="696"/>
      <c r="MKO4751" s="693"/>
      <c r="MKP4751" s="696"/>
      <c r="MKQ4751" s="693"/>
      <c r="MKR4751" s="696"/>
      <c r="MKS4751" s="693"/>
      <c r="MKT4751" s="696"/>
      <c r="MKU4751" s="693"/>
      <c r="MKV4751" s="696"/>
      <c r="MKW4751" s="693"/>
      <c r="MKX4751" s="696"/>
      <c r="MKY4751" s="693"/>
      <c r="MKZ4751" s="696"/>
      <c r="MLA4751" s="693"/>
      <c r="MLB4751" s="696"/>
      <c r="MLC4751" s="693"/>
      <c r="MLD4751" s="696"/>
      <c r="MLE4751" s="693"/>
      <c r="MLF4751" s="696"/>
      <c r="MLG4751" s="693"/>
      <c r="MLH4751" s="696"/>
      <c r="MLI4751" s="693"/>
      <c r="MLJ4751" s="696"/>
      <c r="MLK4751" s="693"/>
      <c r="MLL4751" s="696"/>
      <c r="MLM4751" s="693"/>
      <c r="MLN4751" s="696"/>
      <c r="MLO4751" s="693"/>
      <c r="MLP4751" s="696"/>
      <c r="MLQ4751" s="693"/>
      <c r="MLR4751" s="696"/>
      <c r="MLS4751" s="693"/>
      <c r="MLT4751" s="696"/>
      <c r="MLU4751" s="693"/>
      <c r="MLV4751" s="696"/>
      <c r="MLW4751" s="693"/>
      <c r="MLX4751" s="696"/>
      <c r="MLY4751" s="693"/>
      <c r="MLZ4751" s="696"/>
      <c r="MMA4751" s="693"/>
      <c r="MMB4751" s="696"/>
      <c r="MMC4751" s="693"/>
      <c r="MMD4751" s="696"/>
      <c r="MME4751" s="693"/>
      <c r="MMF4751" s="696"/>
      <c r="MMG4751" s="693"/>
      <c r="MMH4751" s="696"/>
      <c r="MMI4751" s="693"/>
      <c r="MMJ4751" s="696"/>
      <c r="MMK4751" s="693"/>
      <c r="MML4751" s="696"/>
      <c r="MMM4751" s="693"/>
      <c r="MMN4751" s="696"/>
      <c r="MMO4751" s="693"/>
      <c r="MMP4751" s="696"/>
      <c r="MMQ4751" s="693"/>
      <c r="MMR4751" s="696"/>
      <c r="MMS4751" s="693"/>
      <c r="MMT4751" s="696"/>
      <c r="MMU4751" s="693"/>
      <c r="MMV4751" s="696"/>
      <c r="MMW4751" s="693"/>
      <c r="MMX4751" s="696"/>
      <c r="MMY4751" s="693"/>
      <c r="MMZ4751" s="696"/>
      <c r="MNA4751" s="693"/>
      <c r="MNB4751" s="696"/>
      <c r="MNC4751" s="693"/>
      <c r="MND4751" s="696"/>
      <c r="MNE4751" s="693"/>
      <c r="MNF4751" s="696"/>
      <c r="MNG4751" s="693"/>
      <c r="MNH4751" s="696"/>
      <c r="MNI4751" s="693"/>
      <c r="MNJ4751" s="696"/>
      <c r="MNK4751" s="693"/>
      <c r="MNL4751" s="696"/>
      <c r="MNM4751" s="693"/>
      <c r="MNN4751" s="696"/>
      <c r="MNO4751" s="693"/>
      <c r="MNP4751" s="696"/>
      <c r="MNQ4751" s="693"/>
      <c r="MNR4751" s="696"/>
      <c r="MNS4751" s="693"/>
      <c r="MNT4751" s="696"/>
      <c r="MNU4751" s="693"/>
      <c r="MNV4751" s="696"/>
      <c r="MNW4751" s="693"/>
      <c r="MNX4751" s="696"/>
      <c r="MNY4751" s="693"/>
      <c r="MNZ4751" s="696"/>
      <c r="MOA4751" s="693"/>
      <c r="MOB4751" s="696"/>
      <c r="MOC4751" s="693"/>
      <c r="MOD4751" s="696"/>
      <c r="MOE4751" s="693"/>
      <c r="MOF4751" s="696"/>
      <c r="MOG4751" s="693"/>
      <c r="MOH4751" s="696"/>
      <c r="MOI4751" s="693"/>
      <c r="MOJ4751" s="696"/>
      <c r="MOK4751" s="693"/>
      <c r="MOL4751" s="696"/>
      <c r="MOM4751" s="693"/>
      <c r="MON4751" s="696"/>
      <c r="MOO4751" s="693"/>
      <c r="MOP4751" s="696"/>
      <c r="MOQ4751" s="693"/>
      <c r="MOR4751" s="696"/>
      <c r="MOS4751" s="693"/>
      <c r="MOT4751" s="696"/>
      <c r="MOU4751" s="693"/>
      <c r="MOV4751" s="696"/>
      <c r="MOW4751" s="693"/>
      <c r="MOX4751" s="696"/>
      <c r="MOY4751" s="693"/>
      <c r="MOZ4751" s="696"/>
      <c r="MPA4751" s="693"/>
      <c r="MPB4751" s="696"/>
      <c r="MPC4751" s="693"/>
      <c r="MPD4751" s="696"/>
      <c r="MPE4751" s="693"/>
      <c r="MPF4751" s="696"/>
      <c r="MPG4751" s="693"/>
      <c r="MPH4751" s="696"/>
      <c r="MPI4751" s="693"/>
      <c r="MPJ4751" s="696"/>
      <c r="MPK4751" s="693"/>
      <c r="MPL4751" s="696"/>
      <c r="MPM4751" s="693"/>
      <c r="MPN4751" s="696"/>
      <c r="MPO4751" s="693"/>
      <c r="MPP4751" s="696"/>
      <c r="MPQ4751" s="693"/>
      <c r="MPR4751" s="696"/>
      <c r="MPS4751" s="693"/>
      <c r="MPT4751" s="696"/>
      <c r="MPU4751" s="693"/>
      <c r="MPV4751" s="696"/>
      <c r="MPW4751" s="693"/>
      <c r="MPX4751" s="696"/>
      <c r="MPY4751" s="693"/>
      <c r="MPZ4751" s="696"/>
      <c r="MQA4751" s="693"/>
      <c r="MQB4751" s="696"/>
      <c r="MQC4751" s="693"/>
      <c r="MQD4751" s="696"/>
      <c r="MQE4751" s="693"/>
      <c r="MQF4751" s="696"/>
      <c r="MQG4751" s="693"/>
      <c r="MQH4751" s="696"/>
      <c r="MQI4751" s="693"/>
      <c r="MQJ4751" s="696"/>
      <c r="MQK4751" s="693"/>
      <c r="MQL4751" s="696"/>
      <c r="MQM4751" s="693"/>
      <c r="MQN4751" s="696"/>
      <c r="MQO4751" s="693"/>
      <c r="MQP4751" s="696"/>
      <c r="MQQ4751" s="693"/>
      <c r="MQR4751" s="696"/>
      <c r="MQS4751" s="693"/>
      <c r="MQT4751" s="696"/>
      <c r="MQU4751" s="693"/>
      <c r="MQV4751" s="696"/>
      <c r="MQW4751" s="693"/>
      <c r="MQX4751" s="696"/>
      <c r="MQY4751" s="693"/>
      <c r="MQZ4751" s="696"/>
      <c r="MRA4751" s="693"/>
      <c r="MRB4751" s="696"/>
      <c r="MRC4751" s="693"/>
      <c r="MRD4751" s="696"/>
      <c r="MRE4751" s="693"/>
      <c r="MRF4751" s="696"/>
      <c r="MRG4751" s="693"/>
      <c r="MRH4751" s="696"/>
      <c r="MRI4751" s="693"/>
      <c r="MRJ4751" s="696"/>
      <c r="MRK4751" s="693"/>
      <c r="MRL4751" s="696"/>
      <c r="MRM4751" s="693"/>
      <c r="MRN4751" s="696"/>
      <c r="MRO4751" s="693"/>
      <c r="MRP4751" s="696"/>
      <c r="MRQ4751" s="693"/>
      <c r="MRR4751" s="696"/>
      <c r="MRS4751" s="693"/>
      <c r="MRT4751" s="696"/>
      <c r="MRU4751" s="693"/>
      <c r="MRV4751" s="696"/>
      <c r="MRW4751" s="693"/>
      <c r="MRX4751" s="696"/>
      <c r="MRY4751" s="693"/>
      <c r="MRZ4751" s="696"/>
      <c r="MSA4751" s="693"/>
      <c r="MSB4751" s="696"/>
      <c r="MSC4751" s="693"/>
      <c r="MSD4751" s="696"/>
      <c r="MSE4751" s="693"/>
      <c r="MSF4751" s="696"/>
      <c r="MSG4751" s="693"/>
      <c r="MSH4751" s="696"/>
      <c r="MSI4751" s="693"/>
      <c r="MSJ4751" s="696"/>
      <c r="MSK4751" s="693"/>
      <c r="MSL4751" s="696"/>
      <c r="MSM4751" s="693"/>
      <c r="MSN4751" s="696"/>
      <c r="MSO4751" s="693"/>
      <c r="MSP4751" s="696"/>
      <c r="MSQ4751" s="693"/>
      <c r="MSR4751" s="696"/>
      <c r="MSS4751" s="693"/>
      <c r="MST4751" s="696"/>
      <c r="MSU4751" s="693"/>
      <c r="MSV4751" s="696"/>
      <c r="MSW4751" s="693"/>
      <c r="MSX4751" s="696"/>
      <c r="MSY4751" s="693"/>
      <c r="MSZ4751" s="696"/>
      <c r="MTA4751" s="693"/>
      <c r="MTB4751" s="696"/>
      <c r="MTC4751" s="693"/>
      <c r="MTD4751" s="696"/>
      <c r="MTE4751" s="693"/>
      <c r="MTF4751" s="696"/>
      <c r="MTG4751" s="693"/>
      <c r="MTH4751" s="696"/>
      <c r="MTI4751" s="693"/>
      <c r="MTJ4751" s="696"/>
      <c r="MTK4751" s="693"/>
      <c r="MTL4751" s="696"/>
      <c r="MTM4751" s="693"/>
      <c r="MTN4751" s="696"/>
      <c r="MTO4751" s="693"/>
      <c r="MTP4751" s="696"/>
      <c r="MTQ4751" s="693"/>
      <c r="MTR4751" s="696"/>
      <c r="MTS4751" s="693"/>
      <c r="MTT4751" s="696"/>
      <c r="MTU4751" s="693"/>
      <c r="MTV4751" s="696"/>
      <c r="MTW4751" s="693"/>
      <c r="MTX4751" s="696"/>
      <c r="MTY4751" s="693"/>
      <c r="MTZ4751" s="696"/>
      <c r="MUA4751" s="693"/>
      <c r="MUB4751" s="696"/>
      <c r="MUC4751" s="693"/>
      <c r="MUD4751" s="696"/>
      <c r="MUE4751" s="693"/>
      <c r="MUF4751" s="696"/>
      <c r="MUG4751" s="693"/>
      <c r="MUH4751" s="696"/>
      <c r="MUI4751" s="693"/>
      <c r="MUJ4751" s="696"/>
      <c r="MUK4751" s="693"/>
      <c r="MUL4751" s="696"/>
      <c r="MUM4751" s="693"/>
      <c r="MUN4751" s="696"/>
      <c r="MUO4751" s="693"/>
      <c r="MUP4751" s="696"/>
      <c r="MUQ4751" s="693"/>
      <c r="MUR4751" s="696"/>
      <c r="MUS4751" s="693"/>
      <c r="MUT4751" s="696"/>
      <c r="MUU4751" s="693"/>
      <c r="MUV4751" s="696"/>
      <c r="MUW4751" s="693"/>
      <c r="MUX4751" s="696"/>
      <c r="MUY4751" s="693"/>
      <c r="MUZ4751" s="696"/>
      <c r="MVA4751" s="693"/>
      <c r="MVB4751" s="696"/>
      <c r="MVC4751" s="693"/>
      <c r="MVD4751" s="696"/>
      <c r="MVE4751" s="693"/>
      <c r="MVF4751" s="696"/>
      <c r="MVG4751" s="693"/>
      <c r="MVH4751" s="696"/>
      <c r="MVI4751" s="693"/>
      <c r="MVJ4751" s="696"/>
      <c r="MVK4751" s="693"/>
      <c r="MVL4751" s="696"/>
      <c r="MVM4751" s="693"/>
      <c r="MVN4751" s="696"/>
      <c r="MVO4751" s="693"/>
      <c r="MVP4751" s="696"/>
      <c r="MVQ4751" s="693"/>
      <c r="MVR4751" s="696"/>
      <c r="MVS4751" s="693"/>
      <c r="MVT4751" s="696"/>
      <c r="MVU4751" s="693"/>
      <c r="MVV4751" s="696"/>
      <c r="MVW4751" s="693"/>
      <c r="MVX4751" s="696"/>
      <c r="MVY4751" s="693"/>
      <c r="MVZ4751" s="696"/>
      <c r="MWA4751" s="693"/>
      <c r="MWB4751" s="696"/>
      <c r="MWC4751" s="693"/>
      <c r="MWD4751" s="696"/>
      <c r="MWE4751" s="693"/>
      <c r="MWF4751" s="696"/>
      <c r="MWG4751" s="693"/>
      <c r="MWH4751" s="696"/>
      <c r="MWI4751" s="693"/>
      <c r="MWJ4751" s="696"/>
      <c r="MWK4751" s="693"/>
      <c r="MWL4751" s="696"/>
      <c r="MWM4751" s="693"/>
      <c r="MWN4751" s="696"/>
      <c r="MWO4751" s="693"/>
      <c r="MWP4751" s="696"/>
      <c r="MWQ4751" s="693"/>
      <c r="MWR4751" s="696"/>
      <c r="MWS4751" s="693"/>
      <c r="MWT4751" s="696"/>
      <c r="MWU4751" s="693"/>
      <c r="MWV4751" s="696"/>
      <c r="MWW4751" s="693"/>
      <c r="MWX4751" s="696"/>
      <c r="MWY4751" s="693"/>
      <c r="MWZ4751" s="696"/>
      <c r="MXA4751" s="693"/>
      <c r="MXB4751" s="696"/>
      <c r="MXC4751" s="693"/>
      <c r="MXD4751" s="696"/>
      <c r="MXE4751" s="693"/>
      <c r="MXF4751" s="696"/>
      <c r="MXG4751" s="693"/>
      <c r="MXH4751" s="696"/>
      <c r="MXI4751" s="693"/>
      <c r="MXJ4751" s="696"/>
      <c r="MXK4751" s="693"/>
      <c r="MXL4751" s="696"/>
      <c r="MXM4751" s="693"/>
      <c r="MXN4751" s="696"/>
      <c r="MXO4751" s="693"/>
      <c r="MXP4751" s="696"/>
      <c r="MXQ4751" s="693"/>
      <c r="MXR4751" s="696"/>
      <c r="MXS4751" s="693"/>
      <c r="MXT4751" s="696"/>
      <c r="MXU4751" s="693"/>
      <c r="MXV4751" s="696"/>
      <c r="MXW4751" s="693"/>
      <c r="MXX4751" s="696"/>
      <c r="MXY4751" s="693"/>
      <c r="MXZ4751" s="696"/>
      <c r="MYA4751" s="693"/>
      <c r="MYB4751" s="696"/>
      <c r="MYC4751" s="693"/>
      <c r="MYD4751" s="696"/>
      <c r="MYE4751" s="693"/>
      <c r="MYF4751" s="696"/>
      <c r="MYG4751" s="693"/>
      <c r="MYH4751" s="696"/>
      <c r="MYI4751" s="693"/>
      <c r="MYJ4751" s="696"/>
      <c r="MYK4751" s="693"/>
      <c r="MYL4751" s="696"/>
      <c r="MYM4751" s="693"/>
      <c r="MYN4751" s="696"/>
      <c r="MYO4751" s="693"/>
      <c r="MYP4751" s="696"/>
      <c r="MYQ4751" s="693"/>
      <c r="MYR4751" s="696"/>
      <c r="MYS4751" s="693"/>
      <c r="MYT4751" s="696"/>
      <c r="MYU4751" s="693"/>
      <c r="MYV4751" s="696"/>
      <c r="MYW4751" s="693"/>
      <c r="MYX4751" s="696"/>
      <c r="MYY4751" s="693"/>
      <c r="MYZ4751" s="696"/>
      <c r="MZA4751" s="693"/>
      <c r="MZB4751" s="696"/>
      <c r="MZC4751" s="693"/>
      <c r="MZD4751" s="696"/>
      <c r="MZE4751" s="693"/>
      <c r="MZF4751" s="696"/>
      <c r="MZG4751" s="693"/>
      <c r="MZH4751" s="696"/>
      <c r="MZI4751" s="693"/>
      <c r="MZJ4751" s="696"/>
      <c r="MZK4751" s="693"/>
      <c r="MZL4751" s="696"/>
      <c r="MZM4751" s="693"/>
      <c r="MZN4751" s="696"/>
      <c r="MZO4751" s="693"/>
      <c r="MZP4751" s="696"/>
      <c r="MZQ4751" s="693"/>
      <c r="MZR4751" s="696"/>
      <c r="MZS4751" s="693"/>
      <c r="MZT4751" s="696"/>
      <c r="MZU4751" s="693"/>
      <c r="MZV4751" s="696"/>
      <c r="MZW4751" s="693"/>
      <c r="MZX4751" s="696"/>
      <c r="MZY4751" s="693"/>
      <c r="MZZ4751" s="696"/>
      <c r="NAA4751" s="693"/>
      <c r="NAB4751" s="696"/>
      <c r="NAC4751" s="693"/>
      <c r="NAD4751" s="696"/>
      <c r="NAE4751" s="693"/>
      <c r="NAF4751" s="696"/>
      <c r="NAG4751" s="693"/>
      <c r="NAH4751" s="696"/>
      <c r="NAI4751" s="693"/>
      <c r="NAJ4751" s="696"/>
      <c r="NAK4751" s="693"/>
      <c r="NAL4751" s="696"/>
      <c r="NAM4751" s="693"/>
      <c r="NAN4751" s="696"/>
      <c r="NAO4751" s="693"/>
      <c r="NAP4751" s="696"/>
      <c r="NAQ4751" s="693"/>
      <c r="NAR4751" s="696"/>
      <c r="NAS4751" s="693"/>
      <c r="NAT4751" s="696"/>
      <c r="NAU4751" s="693"/>
      <c r="NAV4751" s="696"/>
      <c r="NAW4751" s="693"/>
      <c r="NAX4751" s="696"/>
      <c r="NAY4751" s="693"/>
      <c r="NAZ4751" s="696"/>
      <c r="NBA4751" s="693"/>
      <c r="NBB4751" s="696"/>
      <c r="NBC4751" s="693"/>
      <c r="NBD4751" s="696"/>
      <c r="NBE4751" s="693"/>
      <c r="NBF4751" s="696"/>
      <c r="NBG4751" s="693"/>
      <c r="NBH4751" s="696"/>
      <c r="NBI4751" s="693"/>
      <c r="NBJ4751" s="696"/>
      <c r="NBK4751" s="693"/>
      <c r="NBL4751" s="696"/>
      <c r="NBM4751" s="693"/>
      <c r="NBN4751" s="696"/>
      <c r="NBO4751" s="693"/>
      <c r="NBP4751" s="696"/>
      <c r="NBQ4751" s="693"/>
      <c r="NBR4751" s="696"/>
      <c r="NBS4751" s="693"/>
      <c r="NBT4751" s="696"/>
      <c r="NBU4751" s="693"/>
      <c r="NBV4751" s="696"/>
      <c r="NBW4751" s="693"/>
      <c r="NBX4751" s="696"/>
      <c r="NBY4751" s="693"/>
      <c r="NBZ4751" s="696"/>
      <c r="NCA4751" s="693"/>
      <c r="NCB4751" s="696"/>
      <c r="NCC4751" s="693"/>
      <c r="NCD4751" s="696"/>
      <c r="NCE4751" s="693"/>
      <c r="NCF4751" s="696"/>
      <c r="NCG4751" s="693"/>
      <c r="NCH4751" s="696"/>
      <c r="NCI4751" s="693"/>
      <c r="NCJ4751" s="696"/>
      <c r="NCK4751" s="693"/>
      <c r="NCL4751" s="696"/>
      <c r="NCM4751" s="693"/>
      <c r="NCN4751" s="696"/>
      <c r="NCO4751" s="693"/>
      <c r="NCP4751" s="696"/>
      <c r="NCQ4751" s="693"/>
      <c r="NCR4751" s="696"/>
      <c r="NCS4751" s="693"/>
      <c r="NCT4751" s="696"/>
      <c r="NCU4751" s="693"/>
      <c r="NCV4751" s="696"/>
      <c r="NCW4751" s="693"/>
      <c r="NCX4751" s="696"/>
      <c r="NCY4751" s="693"/>
      <c r="NCZ4751" s="696"/>
      <c r="NDA4751" s="693"/>
      <c r="NDB4751" s="696"/>
      <c r="NDC4751" s="693"/>
      <c r="NDD4751" s="696"/>
      <c r="NDE4751" s="693"/>
      <c r="NDF4751" s="696"/>
      <c r="NDG4751" s="693"/>
      <c r="NDH4751" s="696"/>
      <c r="NDI4751" s="693"/>
      <c r="NDJ4751" s="696"/>
      <c r="NDK4751" s="693"/>
      <c r="NDL4751" s="696"/>
      <c r="NDM4751" s="693"/>
      <c r="NDN4751" s="696"/>
      <c r="NDO4751" s="693"/>
      <c r="NDP4751" s="696"/>
      <c r="NDQ4751" s="693"/>
      <c r="NDR4751" s="696"/>
      <c r="NDS4751" s="693"/>
      <c r="NDT4751" s="696"/>
      <c r="NDU4751" s="693"/>
      <c r="NDV4751" s="696"/>
      <c r="NDW4751" s="693"/>
      <c r="NDX4751" s="696"/>
      <c r="NDY4751" s="693"/>
      <c r="NDZ4751" s="696"/>
      <c r="NEA4751" s="693"/>
      <c r="NEB4751" s="696"/>
      <c r="NEC4751" s="693"/>
      <c r="NED4751" s="696"/>
      <c r="NEE4751" s="693"/>
      <c r="NEF4751" s="696"/>
      <c r="NEG4751" s="693"/>
      <c r="NEH4751" s="696"/>
      <c r="NEI4751" s="693"/>
      <c r="NEJ4751" s="696"/>
      <c r="NEK4751" s="693"/>
      <c r="NEL4751" s="696"/>
      <c r="NEM4751" s="693"/>
      <c r="NEN4751" s="696"/>
      <c r="NEO4751" s="693"/>
      <c r="NEP4751" s="696"/>
      <c r="NEQ4751" s="693"/>
      <c r="NER4751" s="696"/>
      <c r="NES4751" s="693"/>
      <c r="NET4751" s="696"/>
      <c r="NEU4751" s="693"/>
      <c r="NEV4751" s="696"/>
      <c r="NEW4751" s="693"/>
      <c r="NEX4751" s="696"/>
      <c r="NEY4751" s="693"/>
      <c r="NEZ4751" s="696"/>
      <c r="NFA4751" s="693"/>
      <c r="NFB4751" s="696"/>
      <c r="NFC4751" s="693"/>
      <c r="NFD4751" s="696"/>
      <c r="NFE4751" s="693"/>
      <c r="NFF4751" s="696"/>
      <c r="NFG4751" s="693"/>
      <c r="NFH4751" s="696"/>
      <c r="NFI4751" s="693"/>
      <c r="NFJ4751" s="696"/>
      <c r="NFK4751" s="693"/>
      <c r="NFL4751" s="696"/>
      <c r="NFM4751" s="693"/>
      <c r="NFN4751" s="696"/>
      <c r="NFO4751" s="693"/>
      <c r="NFP4751" s="696"/>
      <c r="NFQ4751" s="693"/>
      <c r="NFR4751" s="696"/>
      <c r="NFS4751" s="693"/>
      <c r="NFT4751" s="696"/>
      <c r="NFU4751" s="693"/>
      <c r="NFV4751" s="696"/>
      <c r="NFW4751" s="693"/>
      <c r="NFX4751" s="696"/>
      <c r="NFY4751" s="693"/>
      <c r="NFZ4751" s="696"/>
      <c r="NGA4751" s="693"/>
      <c r="NGB4751" s="696"/>
      <c r="NGC4751" s="693"/>
      <c r="NGD4751" s="696"/>
      <c r="NGE4751" s="693"/>
      <c r="NGF4751" s="696"/>
      <c r="NGG4751" s="693"/>
      <c r="NGH4751" s="696"/>
      <c r="NGI4751" s="693"/>
      <c r="NGJ4751" s="696"/>
      <c r="NGK4751" s="693"/>
      <c r="NGL4751" s="696"/>
      <c r="NGM4751" s="693"/>
      <c r="NGN4751" s="696"/>
      <c r="NGO4751" s="693"/>
      <c r="NGP4751" s="696"/>
      <c r="NGQ4751" s="693"/>
      <c r="NGR4751" s="696"/>
      <c r="NGS4751" s="693"/>
      <c r="NGT4751" s="696"/>
      <c r="NGU4751" s="693"/>
      <c r="NGV4751" s="696"/>
      <c r="NGW4751" s="693"/>
      <c r="NGX4751" s="696"/>
      <c r="NGY4751" s="693"/>
      <c r="NGZ4751" s="696"/>
      <c r="NHA4751" s="693"/>
      <c r="NHB4751" s="696"/>
      <c r="NHC4751" s="693"/>
      <c r="NHD4751" s="696"/>
      <c r="NHE4751" s="693"/>
      <c r="NHF4751" s="696"/>
      <c r="NHG4751" s="693"/>
      <c r="NHH4751" s="696"/>
      <c r="NHI4751" s="693"/>
      <c r="NHJ4751" s="696"/>
      <c r="NHK4751" s="693"/>
      <c r="NHL4751" s="696"/>
      <c r="NHM4751" s="693"/>
      <c r="NHN4751" s="696"/>
      <c r="NHO4751" s="693"/>
      <c r="NHP4751" s="696"/>
      <c r="NHQ4751" s="693"/>
      <c r="NHR4751" s="696"/>
      <c r="NHS4751" s="693"/>
      <c r="NHT4751" s="696"/>
      <c r="NHU4751" s="693"/>
      <c r="NHV4751" s="696"/>
      <c r="NHW4751" s="693"/>
      <c r="NHX4751" s="696"/>
      <c r="NHY4751" s="693"/>
      <c r="NHZ4751" s="696"/>
      <c r="NIA4751" s="693"/>
      <c r="NIB4751" s="696"/>
      <c r="NIC4751" s="693"/>
      <c r="NID4751" s="696"/>
      <c r="NIE4751" s="693"/>
      <c r="NIF4751" s="696"/>
      <c r="NIG4751" s="693"/>
      <c r="NIH4751" s="696"/>
      <c r="NII4751" s="693"/>
      <c r="NIJ4751" s="696"/>
      <c r="NIK4751" s="693"/>
      <c r="NIL4751" s="696"/>
      <c r="NIM4751" s="693"/>
      <c r="NIN4751" s="696"/>
      <c r="NIO4751" s="693"/>
      <c r="NIP4751" s="696"/>
      <c r="NIQ4751" s="693"/>
      <c r="NIR4751" s="696"/>
      <c r="NIS4751" s="693"/>
      <c r="NIT4751" s="696"/>
      <c r="NIU4751" s="693"/>
      <c r="NIV4751" s="696"/>
      <c r="NIW4751" s="693"/>
      <c r="NIX4751" s="696"/>
      <c r="NIY4751" s="693"/>
      <c r="NIZ4751" s="696"/>
      <c r="NJA4751" s="693"/>
      <c r="NJB4751" s="696"/>
      <c r="NJC4751" s="693"/>
      <c r="NJD4751" s="696"/>
      <c r="NJE4751" s="693"/>
      <c r="NJF4751" s="696"/>
      <c r="NJG4751" s="693"/>
      <c r="NJH4751" s="696"/>
      <c r="NJI4751" s="693"/>
      <c r="NJJ4751" s="696"/>
      <c r="NJK4751" s="693"/>
      <c r="NJL4751" s="696"/>
      <c r="NJM4751" s="693"/>
      <c r="NJN4751" s="696"/>
      <c r="NJO4751" s="693"/>
      <c r="NJP4751" s="696"/>
      <c r="NJQ4751" s="693"/>
      <c r="NJR4751" s="696"/>
      <c r="NJS4751" s="693"/>
      <c r="NJT4751" s="696"/>
      <c r="NJU4751" s="693"/>
      <c r="NJV4751" s="696"/>
      <c r="NJW4751" s="693"/>
      <c r="NJX4751" s="696"/>
      <c r="NJY4751" s="693"/>
      <c r="NJZ4751" s="696"/>
      <c r="NKA4751" s="693"/>
      <c r="NKB4751" s="696"/>
      <c r="NKC4751" s="693"/>
      <c r="NKD4751" s="696"/>
      <c r="NKE4751" s="693"/>
      <c r="NKF4751" s="696"/>
      <c r="NKG4751" s="693"/>
      <c r="NKH4751" s="696"/>
      <c r="NKI4751" s="693"/>
      <c r="NKJ4751" s="696"/>
      <c r="NKK4751" s="693"/>
      <c r="NKL4751" s="696"/>
      <c r="NKM4751" s="693"/>
      <c r="NKN4751" s="696"/>
      <c r="NKO4751" s="693"/>
      <c r="NKP4751" s="696"/>
      <c r="NKQ4751" s="693"/>
      <c r="NKR4751" s="696"/>
      <c r="NKS4751" s="693"/>
      <c r="NKT4751" s="696"/>
      <c r="NKU4751" s="693"/>
      <c r="NKV4751" s="696"/>
      <c r="NKW4751" s="693"/>
      <c r="NKX4751" s="696"/>
      <c r="NKY4751" s="693"/>
      <c r="NKZ4751" s="696"/>
      <c r="NLA4751" s="693"/>
      <c r="NLB4751" s="696"/>
      <c r="NLC4751" s="693"/>
      <c r="NLD4751" s="696"/>
      <c r="NLE4751" s="693"/>
      <c r="NLF4751" s="696"/>
      <c r="NLG4751" s="693"/>
      <c r="NLH4751" s="696"/>
      <c r="NLI4751" s="693"/>
      <c r="NLJ4751" s="696"/>
      <c r="NLK4751" s="693"/>
      <c r="NLL4751" s="696"/>
      <c r="NLM4751" s="693"/>
      <c r="NLN4751" s="696"/>
      <c r="NLO4751" s="693"/>
      <c r="NLP4751" s="696"/>
      <c r="NLQ4751" s="693"/>
      <c r="NLR4751" s="696"/>
      <c r="NLS4751" s="693"/>
      <c r="NLT4751" s="696"/>
      <c r="NLU4751" s="693"/>
      <c r="NLV4751" s="696"/>
      <c r="NLW4751" s="693"/>
      <c r="NLX4751" s="696"/>
      <c r="NLY4751" s="693"/>
      <c r="NLZ4751" s="696"/>
      <c r="NMA4751" s="693"/>
      <c r="NMB4751" s="696"/>
      <c r="NMC4751" s="693"/>
      <c r="NMD4751" s="696"/>
      <c r="NME4751" s="693"/>
      <c r="NMF4751" s="696"/>
      <c r="NMG4751" s="693"/>
      <c r="NMH4751" s="696"/>
      <c r="NMI4751" s="693"/>
      <c r="NMJ4751" s="696"/>
      <c r="NMK4751" s="693"/>
      <c r="NML4751" s="696"/>
      <c r="NMM4751" s="693"/>
      <c r="NMN4751" s="696"/>
      <c r="NMO4751" s="693"/>
      <c r="NMP4751" s="696"/>
      <c r="NMQ4751" s="693"/>
      <c r="NMR4751" s="696"/>
      <c r="NMS4751" s="693"/>
      <c r="NMT4751" s="696"/>
      <c r="NMU4751" s="693"/>
      <c r="NMV4751" s="696"/>
      <c r="NMW4751" s="693"/>
      <c r="NMX4751" s="696"/>
      <c r="NMY4751" s="693"/>
      <c r="NMZ4751" s="696"/>
      <c r="NNA4751" s="693"/>
      <c r="NNB4751" s="696"/>
      <c r="NNC4751" s="693"/>
      <c r="NND4751" s="696"/>
      <c r="NNE4751" s="693"/>
      <c r="NNF4751" s="696"/>
      <c r="NNG4751" s="693"/>
      <c r="NNH4751" s="696"/>
      <c r="NNI4751" s="693"/>
      <c r="NNJ4751" s="696"/>
      <c r="NNK4751" s="693"/>
      <c r="NNL4751" s="696"/>
      <c r="NNM4751" s="693"/>
      <c r="NNN4751" s="696"/>
      <c r="NNO4751" s="693"/>
      <c r="NNP4751" s="696"/>
      <c r="NNQ4751" s="693"/>
      <c r="NNR4751" s="696"/>
      <c r="NNS4751" s="693"/>
      <c r="NNT4751" s="696"/>
      <c r="NNU4751" s="693"/>
      <c r="NNV4751" s="696"/>
      <c r="NNW4751" s="693"/>
      <c r="NNX4751" s="696"/>
      <c r="NNY4751" s="693"/>
      <c r="NNZ4751" s="696"/>
      <c r="NOA4751" s="693"/>
      <c r="NOB4751" s="696"/>
      <c r="NOC4751" s="693"/>
      <c r="NOD4751" s="696"/>
      <c r="NOE4751" s="693"/>
      <c r="NOF4751" s="696"/>
      <c r="NOG4751" s="693"/>
      <c r="NOH4751" s="696"/>
      <c r="NOI4751" s="693"/>
      <c r="NOJ4751" s="696"/>
      <c r="NOK4751" s="693"/>
      <c r="NOL4751" s="696"/>
      <c r="NOM4751" s="693"/>
      <c r="NON4751" s="696"/>
      <c r="NOO4751" s="693"/>
      <c r="NOP4751" s="696"/>
      <c r="NOQ4751" s="693"/>
      <c r="NOR4751" s="696"/>
      <c r="NOS4751" s="693"/>
      <c r="NOT4751" s="696"/>
      <c r="NOU4751" s="693"/>
      <c r="NOV4751" s="696"/>
      <c r="NOW4751" s="693"/>
      <c r="NOX4751" s="696"/>
      <c r="NOY4751" s="693"/>
      <c r="NOZ4751" s="696"/>
      <c r="NPA4751" s="693"/>
      <c r="NPB4751" s="696"/>
      <c r="NPC4751" s="693"/>
      <c r="NPD4751" s="696"/>
      <c r="NPE4751" s="693"/>
      <c r="NPF4751" s="696"/>
      <c r="NPG4751" s="693"/>
      <c r="NPH4751" s="696"/>
      <c r="NPI4751" s="693"/>
      <c r="NPJ4751" s="696"/>
      <c r="NPK4751" s="693"/>
      <c r="NPL4751" s="696"/>
      <c r="NPM4751" s="693"/>
      <c r="NPN4751" s="696"/>
      <c r="NPO4751" s="693"/>
      <c r="NPP4751" s="696"/>
      <c r="NPQ4751" s="693"/>
      <c r="NPR4751" s="696"/>
      <c r="NPS4751" s="693"/>
      <c r="NPT4751" s="696"/>
      <c r="NPU4751" s="693"/>
      <c r="NPV4751" s="696"/>
      <c r="NPW4751" s="693"/>
      <c r="NPX4751" s="696"/>
      <c r="NPY4751" s="693"/>
      <c r="NPZ4751" s="696"/>
      <c r="NQA4751" s="693"/>
      <c r="NQB4751" s="696"/>
      <c r="NQC4751" s="693"/>
      <c r="NQD4751" s="696"/>
      <c r="NQE4751" s="693"/>
      <c r="NQF4751" s="696"/>
      <c r="NQG4751" s="693"/>
      <c r="NQH4751" s="696"/>
      <c r="NQI4751" s="693"/>
      <c r="NQJ4751" s="696"/>
      <c r="NQK4751" s="693"/>
      <c r="NQL4751" s="696"/>
      <c r="NQM4751" s="693"/>
      <c r="NQN4751" s="696"/>
      <c r="NQO4751" s="693"/>
      <c r="NQP4751" s="696"/>
      <c r="NQQ4751" s="693"/>
      <c r="NQR4751" s="696"/>
      <c r="NQS4751" s="693"/>
      <c r="NQT4751" s="696"/>
      <c r="NQU4751" s="693"/>
      <c r="NQV4751" s="696"/>
      <c r="NQW4751" s="693"/>
      <c r="NQX4751" s="696"/>
      <c r="NQY4751" s="693"/>
      <c r="NQZ4751" s="696"/>
      <c r="NRA4751" s="693"/>
      <c r="NRB4751" s="696"/>
      <c r="NRC4751" s="693"/>
      <c r="NRD4751" s="696"/>
      <c r="NRE4751" s="693"/>
      <c r="NRF4751" s="696"/>
      <c r="NRG4751" s="693"/>
      <c r="NRH4751" s="696"/>
      <c r="NRI4751" s="693"/>
      <c r="NRJ4751" s="696"/>
      <c r="NRK4751" s="693"/>
      <c r="NRL4751" s="696"/>
      <c r="NRM4751" s="693"/>
      <c r="NRN4751" s="696"/>
      <c r="NRO4751" s="693"/>
      <c r="NRP4751" s="696"/>
      <c r="NRQ4751" s="693"/>
      <c r="NRR4751" s="696"/>
      <c r="NRS4751" s="693"/>
      <c r="NRT4751" s="696"/>
      <c r="NRU4751" s="693"/>
      <c r="NRV4751" s="696"/>
      <c r="NRW4751" s="693"/>
      <c r="NRX4751" s="696"/>
      <c r="NRY4751" s="693"/>
      <c r="NRZ4751" s="696"/>
      <c r="NSA4751" s="693"/>
      <c r="NSB4751" s="696"/>
      <c r="NSC4751" s="693"/>
      <c r="NSD4751" s="696"/>
      <c r="NSE4751" s="693"/>
      <c r="NSF4751" s="696"/>
      <c r="NSG4751" s="693"/>
      <c r="NSH4751" s="696"/>
      <c r="NSI4751" s="693"/>
      <c r="NSJ4751" s="696"/>
      <c r="NSK4751" s="693"/>
      <c r="NSL4751" s="696"/>
      <c r="NSM4751" s="693"/>
      <c r="NSN4751" s="696"/>
      <c r="NSO4751" s="693"/>
      <c r="NSP4751" s="696"/>
      <c r="NSQ4751" s="693"/>
      <c r="NSR4751" s="696"/>
      <c r="NSS4751" s="693"/>
      <c r="NST4751" s="696"/>
      <c r="NSU4751" s="693"/>
      <c r="NSV4751" s="696"/>
      <c r="NSW4751" s="693"/>
      <c r="NSX4751" s="696"/>
      <c r="NSY4751" s="693"/>
      <c r="NSZ4751" s="696"/>
      <c r="NTA4751" s="693"/>
      <c r="NTB4751" s="696"/>
      <c r="NTC4751" s="693"/>
      <c r="NTD4751" s="696"/>
      <c r="NTE4751" s="693"/>
      <c r="NTF4751" s="696"/>
      <c r="NTG4751" s="693"/>
      <c r="NTH4751" s="696"/>
      <c r="NTI4751" s="693"/>
      <c r="NTJ4751" s="696"/>
      <c r="NTK4751" s="693"/>
      <c r="NTL4751" s="696"/>
      <c r="NTM4751" s="693"/>
      <c r="NTN4751" s="696"/>
      <c r="NTO4751" s="693"/>
      <c r="NTP4751" s="696"/>
      <c r="NTQ4751" s="693"/>
      <c r="NTR4751" s="696"/>
      <c r="NTS4751" s="693"/>
      <c r="NTT4751" s="696"/>
      <c r="NTU4751" s="693"/>
      <c r="NTV4751" s="696"/>
      <c r="NTW4751" s="693"/>
      <c r="NTX4751" s="696"/>
      <c r="NTY4751" s="693"/>
      <c r="NTZ4751" s="696"/>
      <c r="NUA4751" s="693"/>
      <c r="NUB4751" s="696"/>
      <c r="NUC4751" s="693"/>
      <c r="NUD4751" s="696"/>
      <c r="NUE4751" s="693"/>
      <c r="NUF4751" s="696"/>
      <c r="NUG4751" s="693"/>
      <c r="NUH4751" s="696"/>
      <c r="NUI4751" s="693"/>
      <c r="NUJ4751" s="696"/>
      <c r="NUK4751" s="693"/>
      <c r="NUL4751" s="696"/>
      <c r="NUM4751" s="693"/>
      <c r="NUN4751" s="696"/>
      <c r="NUO4751" s="693"/>
      <c r="NUP4751" s="696"/>
      <c r="NUQ4751" s="693"/>
      <c r="NUR4751" s="696"/>
      <c r="NUS4751" s="693"/>
      <c r="NUT4751" s="696"/>
      <c r="NUU4751" s="693"/>
      <c r="NUV4751" s="696"/>
      <c r="NUW4751" s="693"/>
      <c r="NUX4751" s="696"/>
      <c r="NUY4751" s="693"/>
      <c r="NUZ4751" s="696"/>
      <c r="NVA4751" s="693"/>
      <c r="NVB4751" s="696"/>
      <c r="NVC4751" s="693"/>
      <c r="NVD4751" s="696"/>
      <c r="NVE4751" s="693"/>
      <c r="NVF4751" s="696"/>
      <c r="NVG4751" s="693"/>
      <c r="NVH4751" s="696"/>
      <c r="NVI4751" s="693"/>
      <c r="NVJ4751" s="696"/>
      <c r="NVK4751" s="693"/>
      <c r="NVL4751" s="696"/>
      <c r="NVM4751" s="693"/>
      <c r="NVN4751" s="696"/>
      <c r="NVO4751" s="693"/>
      <c r="NVP4751" s="696"/>
      <c r="NVQ4751" s="693"/>
      <c r="NVR4751" s="696"/>
      <c r="NVS4751" s="693"/>
      <c r="NVT4751" s="696"/>
      <c r="NVU4751" s="693"/>
      <c r="NVV4751" s="696"/>
      <c r="NVW4751" s="693"/>
      <c r="NVX4751" s="696"/>
      <c r="NVY4751" s="693"/>
      <c r="NVZ4751" s="696"/>
      <c r="NWA4751" s="693"/>
      <c r="NWB4751" s="696"/>
      <c r="NWC4751" s="693"/>
      <c r="NWD4751" s="696"/>
      <c r="NWE4751" s="693"/>
      <c r="NWF4751" s="696"/>
      <c r="NWG4751" s="693"/>
      <c r="NWH4751" s="696"/>
      <c r="NWI4751" s="693"/>
      <c r="NWJ4751" s="696"/>
      <c r="NWK4751" s="693"/>
      <c r="NWL4751" s="696"/>
      <c r="NWM4751" s="693"/>
      <c r="NWN4751" s="696"/>
      <c r="NWO4751" s="693"/>
      <c r="NWP4751" s="696"/>
      <c r="NWQ4751" s="693"/>
      <c r="NWR4751" s="696"/>
      <c r="NWS4751" s="693"/>
      <c r="NWT4751" s="696"/>
      <c r="NWU4751" s="693"/>
      <c r="NWV4751" s="696"/>
      <c r="NWW4751" s="693"/>
      <c r="NWX4751" s="696"/>
      <c r="NWY4751" s="693"/>
      <c r="NWZ4751" s="696"/>
      <c r="NXA4751" s="693"/>
      <c r="NXB4751" s="696"/>
      <c r="NXC4751" s="693"/>
      <c r="NXD4751" s="696"/>
      <c r="NXE4751" s="693"/>
      <c r="NXF4751" s="696"/>
      <c r="NXG4751" s="693"/>
      <c r="NXH4751" s="696"/>
      <c r="NXI4751" s="693"/>
      <c r="NXJ4751" s="696"/>
      <c r="NXK4751" s="693"/>
      <c r="NXL4751" s="696"/>
      <c r="NXM4751" s="693"/>
      <c r="NXN4751" s="696"/>
      <c r="NXO4751" s="693"/>
      <c r="NXP4751" s="696"/>
      <c r="NXQ4751" s="693"/>
      <c r="NXR4751" s="696"/>
      <c r="NXS4751" s="693"/>
      <c r="NXT4751" s="696"/>
      <c r="NXU4751" s="693"/>
      <c r="NXV4751" s="696"/>
      <c r="NXW4751" s="693"/>
      <c r="NXX4751" s="696"/>
      <c r="NXY4751" s="693"/>
      <c r="NXZ4751" s="696"/>
      <c r="NYA4751" s="693"/>
      <c r="NYB4751" s="696"/>
      <c r="NYC4751" s="693"/>
      <c r="NYD4751" s="696"/>
      <c r="NYE4751" s="693"/>
      <c r="NYF4751" s="696"/>
      <c r="NYG4751" s="693"/>
      <c r="NYH4751" s="696"/>
      <c r="NYI4751" s="693"/>
      <c r="NYJ4751" s="696"/>
      <c r="NYK4751" s="693"/>
      <c r="NYL4751" s="696"/>
      <c r="NYM4751" s="693"/>
      <c r="NYN4751" s="696"/>
      <c r="NYO4751" s="693"/>
      <c r="NYP4751" s="696"/>
      <c r="NYQ4751" s="693"/>
      <c r="NYR4751" s="696"/>
      <c r="NYS4751" s="693"/>
      <c r="NYT4751" s="696"/>
      <c r="NYU4751" s="693"/>
      <c r="NYV4751" s="696"/>
      <c r="NYW4751" s="693"/>
      <c r="NYX4751" s="696"/>
      <c r="NYY4751" s="693"/>
      <c r="NYZ4751" s="696"/>
      <c r="NZA4751" s="693"/>
      <c r="NZB4751" s="696"/>
      <c r="NZC4751" s="693"/>
      <c r="NZD4751" s="696"/>
      <c r="NZE4751" s="693"/>
      <c r="NZF4751" s="696"/>
      <c r="NZG4751" s="693"/>
      <c r="NZH4751" s="696"/>
      <c r="NZI4751" s="693"/>
      <c r="NZJ4751" s="696"/>
      <c r="NZK4751" s="693"/>
      <c r="NZL4751" s="696"/>
      <c r="NZM4751" s="693"/>
      <c r="NZN4751" s="696"/>
      <c r="NZO4751" s="693"/>
      <c r="NZP4751" s="696"/>
      <c r="NZQ4751" s="693"/>
      <c r="NZR4751" s="696"/>
      <c r="NZS4751" s="693"/>
      <c r="NZT4751" s="696"/>
      <c r="NZU4751" s="693"/>
      <c r="NZV4751" s="696"/>
      <c r="NZW4751" s="693"/>
      <c r="NZX4751" s="696"/>
      <c r="NZY4751" s="693"/>
      <c r="NZZ4751" s="696"/>
      <c r="OAA4751" s="693"/>
      <c r="OAB4751" s="696"/>
      <c r="OAC4751" s="693"/>
      <c r="OAD4751" s="696"/>
      <c r="OAE4751" s="693"/>
      <c r="OAF4751" s="696"/>
      <c r="OAG4751" s="693"/>
      <c r="OAH4751" s="696"/>
      <c r="OAI4751" s="693"/>
      <c r="OAJ4751" s="696"/>
      <c r="OAK4751" s="693"/>
      <c r="OAL4751" s="696"/>
      <c r="OAM4751" s="693"/>
      <c r="OAN4751" s="696"/>
      <c r="OAO4751" s="693"/>
      <c r="OAP4751" s="696"/>
      <c r="OAQ4751" s="693"/>
      <c r="OAR4751" s="696"/>
      <c r="OAS4751" s="693"/>
      <c r="OAT4751" s="696"/>
      <c r="OAU4751" s="693"/>
      <c r="OAV4751" s="696"/>
      <c r="OAW4751" s="693"/>
      <c r="OAX4751" s="696"/>
      <c r="OAY4751" s="693"/>
      <c r="OAZ4751" s="696"/>
      <c r="OBA4751" s="693"/>
      <c r="OBB4751" s="696"/>
      <c r="OBC4751" s="693"/>
      <c r="OBD4751" s="696"/>
      <c r="OBE4751" s="693"/>
      <c r="OBF4751" s="696"/>
      <c r="OBG4751" s="693"/>
      <c r="OBH4751" s="696"/>
      <c r="OBI4751" s="693"/>
      <c r="OBJ4751" s="696"/>
      <c r="OBK4751" s="693"/>
      <c r="OBL4751" s="696"/>
      <c r="OBM4751" s="693"/>
      <c r="OBN4751" s="696"/>
      <c r="OBO4751" s="693"/>
      <c r="OBP4751" s="696"/>
      <c r="OBQ4751" s="693"/>
      <c r="OBR4751" s="696"/>
      <c r="OBS4751" s="693"/>
      <c r="OBT4751" s="696"/>
      <c r="OBU4751" s="693"/>
      <c r="OBV4751" s="696"/>
      <c r="OBW4751" s="693"/>
      <c r="OBX4751" s="696"/>
      <c r="OBY4751" s="693"/>
      <c r="OBZ4751" s="696"/>
      <c r="OCA4751" s="693"/>
      <c r="OCB4751" s="696"/>
      <c r="OCC4751" s="693"/>
      <c r="OCD4751" s="696"/>
      <c r="OCE4751" s="693"/>
      <c r="OCF4751" s="696"/>
      <c r="OCG4751" s="693"/>
      <c r="OCH4751" s="696"/>
      <c r="OCI4751" s="693"/>
      <c r="OCJ4751" s="696"/>
      <c r="OCK4751" s="693"/>
      <c r="OCL4751" s="696"/>
      <c r="OCM4751" s="693"/>
      <c r="OCN4751" s="696"/>
      <c r="OCO4751" s="693"/>
      <c r="OCP4751" s="696"/>
      <c r="OCQ4751" s="693"/>
      <c r="OCR4751" s="696"/>
      <c r="OCS4751" s="693"/>
      <c r="OCT4751" s="696"/>
      <c r="OCU4751" s="693"/>
      <c r="OCV4751" s="696"/>
      <c r="OCW4751" s="693"/>
      <c r="OCX4751" s="696"/>
      <c r="OCY4751" s="693"/>
      <c r="OCZ4751" s="696"/>
      <c r="ODA4751" s="693"/>
      <c r="ODB4751" s="696"/>
      <c r="ODC4751" s="693"/>
      <c r="ODD4751" s="696"/>
      <c r="ODE4751" s="693"/>
      <c r="ODF4751" s="696"/>
      <c r="ODG4751" s="693"/>
      <c r="ODH4751" s="696"/>
      <c r="ODI4751" s="693"/>
      <c r="ODJ4751" s="696"/>
      <c r="ODK4751" s="693"/>
      <c r="ODL4751" s="696"/>
      <c r="ODM4751" s="693"/>
      <c r="ODN4751" s="696"/>
      <c r="ODO4751" s="693"/>
      <c r="ODP4751" s="696"/>
      <c r="ODQ4751" s="693"/>
      <c r="ODR4751" s="696"/>
      <c r="ODS4751" s="693"/>
      <c r="ODT4751" s="696"/>
      <c r="ODU4751" s="693"/>
      <c r="ODV4751" s="696"/>
      <c r="ODW4751" s="693"/>
      <c r="ODX4751" s="696"/>
      <c r="ODY4751" s="693"/>
      <c r="ODZ4751" s="696"/>
      <c r="OEA4751" s="693"/>
      <c r="OEB4751" s="696"/>
      <c r="OEC4751" s="693"/>
      <c r="OED4751" s="696"/>
      <c r="OEE4751" s="693"/>
      <c r="OEF4751" s="696"/>
      <c r="OEG4751" s="693"/>
      <c r="OEH4751" s="696"/>
      <c r="OEI4751" s="693"/>
      <c r="OEJ4751" s="696"/>
      <c r="OEK4751" s="693"/>
      <c r="OEL4751" s="696"/>
      <c r="OEM4751" s="693"/>
      <c r="OEN4751" s="696"/>
      <c r="OEO4751" s="693"/>
      <c r="OEP4751" s="696"/>
      <c r="OEQ4751" s="693"/>
      <c r="OER4751" s="696"/>
      <c r="OES4751" s="693"/>
      <c r="OET4751" s="696"/>
      <c r="OEU4751" s="693"/>
      <c r="OEV4751" s="696"/>
      <c r="OEW4751" s="693"/>
      <c r="OEX4751" s="696"/>
      <c r="OEY4751" s="693"/>
      <c r="OEZ4751" s="696"/>
      <c r="OFA4751" s="693"/>
      <c r="OFB4751" s="696"/>
      <c r="OFC4751" s="693"/>
      <c r="OFD4751" s="696"/>
      <c r="OFE4751" s="693"/>
      <c r="OFF4751" s="696"/>
      <c r="OFG4751" s="693"/>
      <c r="OFH4751" s="696"/>
      <c r="OFI4751" s="693"/>
      <c r="OFJ4751" s="696"/>
      <c r="OFK4751" s="693"/>
      <c r="OFL4751" s="696"/>
      <c r="OFM4751" s="693"/>
      <c r="OFN4751" s="696"/>
      <c r="OFO4751" s="693"/>
      <c r="OFP4751" s="696"/>
      <c r="OFQ4751" s="693"/>
      <c r="OFR4751" s="696"/>
      <c r="OFS4751" s="693"/>
      <c r="OFT4751" s="696"/>
      <c r="OFU4751" s="693"/>
      <c r="OFV4751" s="696"/>
      <c r="OFW4751" s="693"/>
      <c r="OFX4751" s="696"/>
      <c r="OFY4751" s="693"/>
      <c r="OFZ4751" s="696"/>
      <c r="OGA4751" s="693"/>
      <c r="OGB4751" s="696"/>
      <c r="OGC4751" s="693"/>
      <c r="OGD4751" s="696"/>
      <c r="OGE4751" s="693"/>
      <c r="OGF4751" s="696"/>
      <c r="OGG4751" s="693"/>
      <c r="OGH4751" s="696"/>
      <c r="OGI4751" s="693"/>
      <c r="OGJ4751" s="696"/>
      <c r="OGK4751" s="693"/>
      <c r="OGL4751" s="696"/>
      <c r="OGM4751" s="693"/>
      <c r="OGN4751" s="696"/>
      <c r="OGO4751" s="693"/>
      <c r="OGP4751" s="696"/>
      <c r="OGQ4751" s="693"/>
      <c r="OGR4751" s="696"/>
      <c r="OGS4751" s="693"/>
      <c r="OGT4751" s="696"/>
      <c r="OGU4751" s="693"/>
      <c r="OGV4751" s="696"/>
      <c r="OGW4751" s="693"/>
      <c r="OGX4751" s="696"/>
      <c r="OGY4751" s="693"/>
      <c r="OGZ4751" s="696"/>
      <c r="OHA4751" s="693"/>
      <c r="OHB4751" s="696"/>
      <c r="OHC4751" s="693"/>
      <c r="OHD4751" s="696"/>
      <c r="OHE4751" s="693"/>
      <c r="OHF4751" s="696"/>
      <c r="OHG4751" s="693"/>
      <c r="OHH4751" s="696"/>
      <c r="OHI4751" s="693"/>
      <c r="OHJ4751" s="696"/>
      <c r="OHK4751" s="693"/>
      <c r="OHL4751" s="696"/>
      <c r="OHM4751" s="693"/>
      <c r="OHN4751" s="696"/>
      <c r="OHO4751" s="693"/>
      <c r="OHP4751" s="696"/>
      <c r="OHQ4751" s="693"/>
      <c r="OHR4751" s="696"/>
      <c r="OHS4751" s="693"/>
      <c r="OHT4751" s="696"/>
      <c r="OHU4751" s="693"/>
      <c r="OHV4751" s="696"/>
      <c r="OHW4751" s="693"/>
      <c r="OHX4751" s="696"/>
      <c r="OHY4751" s="693"/>
      <c r="OHZ4751" s="696"/>
      <c r="OIA4751" s="693"/>
      <c r="OIB4751" s="696"/>
      <c r="OIC4751" s="693"/>
      <c r="OID4751" s="696"/>
      <c r="OIE4751" s="693"/>
      <c r="OIF4751" s="696"/>
      <c r="OIG4751" s="693"/>
      <c r="OIH4751" s="696"/>
      <c r="OII4751" s="693"/>
      <c r="OIJ4751" s="696"/>
      <c r="OIK4751" s="693"/>
      <c r="OIL4751" s="696"/>
      <c r="OIM4751" s="693"/>
      <c r="OIN4751" s="696"/>
      <c r="OIO4751" s="693"/>
      <c r="OIP4751" s="696"/>
      <c r="OIQ4751" s="693"/>
      <c r="OIR4751" s="696"/>
      <c r="OIS4751" s="693"/>
      <c r="OIT4751" s="696"/>
      <c r="OIU4751" s="693"/>
      <c r="OIV4751" s="696"/>
      <c r="OIW4751" s="693"/>
      <c r="OIX4751" s="696"/>
      <c r="OIY4751" s="693"/>
      <c r="OIZ4751" s="696"/>
      <c r="OJA4751" s="693"/>
      <c r="OJB4751" s="696"/>
      <c r="OJC4751" s="693"/>
      <c r="OJD4751" s="696"/>
      <c r="OJE4751" s="693"/>
      <c r="OJF4751" s="696"/>
      <c r="OJG4751" s="693"/>
      <c r="OJH4751" s="696"/>
      <c r="OJI4751" s="693"/>
      <c r="OJJ4751" s="696"/>
      <c r="OJK4751" s="693"/>
      <c r="OJL4751" s="696"/>
      <c r="OJM4751" s="693"/>
      <c r="OJN4751" s="696"/>
      <c r="OJO4751" s="693"/>
      <c r="OJP4751" s="696"/>
      <c r="OJQ4751" s="693"/>
      <c r="OJR4751" s="696"/>
      <c r="OJS4751" s="693"/>
      <c r="OJT4751" s="696"/>
      <c r="OJU4751" s="693"/>
      <c r="OJV4751" s="696"/>
      <c r="OJW4751" s="693"/>
      <c r="OJX4751" s="696"/>
      <c r="OJY4751" s="693"/>
      <c r="OJZ4751" s="696"/>
      <c r="OKA4751" s="693"/>
      <c r="OKB4751" s="696"/>
      <c r="OKC4751" s="693"/>
      <c r="OKD4751" s="696"/>
      <c r="OKE4751" s="693"/>
      <c r="OKF4751" s="696"/>
      <c r="OKG4751" s="693"/>
      <c r="OKH4751" s="696"/>
      <c r="OKI4751" s="693"/>
      <c r="OKJ4751" s="696"/>
      <c r="OKK4751" s="693"/>
      <c r="OKL4751" s="696"/>
      <c r="OKM4751" s="693"/>
      <c r="OKN4751" s="696"/>
      <c r="OKO4751" s="693"/>
      <c r="OKP4751" s="696"/>
      <c r="OKQ4751" s="693"/>
      <c r="OKR4751" s="696"/>
      <c r="OKS4751" s="693"/>
      <c r="OKT4751" s="696"/>
      <c r="OKU4751" s="693"/>
      <c r="OKV4751" s="696"/>
      <c r="OKW4751" s="693"/>
      <c r="OKX4751" s="696"/>
      <c r="OKY4751" s="693"/>
      <c r="OKZ4751" s="696"/>
      <c r="OLA4751" s="693"/>
      <c r="OLB4751" s="696"/>
      <c r="OLC4751" s="693"/>
      <c r="OLD4751" s="696"/>
      <c r="OLE4751" s="693"/>
      <c r="OLF4751" s="696"/>
      <c r="OLG4751" s="693"/>
      <c r="OLH4751" s="696"/>
      <c r="OLI4751" s="693"/>
      <c r="OLJ4751" s="696"/>
      <c r="OLK4751" s="693"/>
      <c r="OLL4751" s="696"/>
      <c r="OLM4751" s="693"/>
      <c r="OLN4751" s="696"/>
      <c r="OLO4751" s="693"/>
      <c r="OLP4751" s="696"/>
      <c r="OLQ4751" s="693"/>
      <c r="OLR4751" s="696"/>
      <c r="OLS4751" s="693"/>
      <c r="OLT4751" s="696"/>
      <c r="OLU4751" s="693"/>
      <c r="OLV4751" s="696"/>
      <c r="OLW4751" s="693"/>
      <c r="OLX4751" s="696"/>
      <c r="OLY4751" s="693"/>
      <c r="OLZ4751" s="696"/>
      <c r="OMA4751" s="693"/>
      <c r="OMB4751" s="696"/>
      <c r="OMC4751" s="693"/>
      <c r="OMD4751" s="696"/>
      <c r="OME4751" s="693"/>
      <c r="OMF4751" s="696"/>
      <c r="OMG4751" s="693"/>
      <c r="OMH4751" s="696"/>
      <c r="OMI4751" s="693"/>
      <c r="OMJ4751" s="696"/>
      <c r="OMK4751" s="693"/>
      <c r="OML4751" s="696"/>
      <c r="OMM4751" s="693"/>
      <c r="OMN4751" s="696"/>
      <c r="OMO4751" s="693"/>
      <c r="OMP4751" s="696"/>
      <c r="OMQ4751" s="693"/>
      <c r="OMR4751" s="696"/>
      <c r="OMS4751" s="693"/>
      <c r="OMT4751" s="696"/>
      <c r="OMU4751" s="693"/>
      <c r="OMV4751" s="696"/>
      <c r="OMW4751" s="693"/>
      <c r="OMX4751" s="696"/>
      <c r="OMY4751" s="693"/>
      <c r="OMZ4751" s="696"/>
      <c r="ONA4751" s="693"/>
      <c r="ONB4751" s="696"/>
      <c r="ONC4751" s="693"/>
      <c r="OND4751" s="696"/>
      <c r="ONE4751" s="693"/>
      <c r="ONF4751" s="696"/>
      <c r="ONG4751" s="693"/>
      <c r="ONH4751" s="696"/>
      <c r="ONI4751" s="693"/>
      <c r="ONJ4751" s="696"/>
      <c r="ONK4751" s="693"/>
      <c r="ONL4751" s="696"/>
      <c r="ONM4751" s="693"/>
      <c r="ONN4751" s="696"/>
      <c r="ONO4751" s="693"/>
      <c r="ONP4751" s="696"/>
      <c r="ONQ4751" s="693"/>
      <c r="ONR4751" s="696"/>
      <c r="ONS4751" s="693"/>
      <c r="ONT4751" s="696"/>
      <c r="ONU4751" s="693"/>
      <c r="ONV4751" s="696"/>
      <c r="ONW4751" s="693"/>
      <c r="ONX4751" s="696"/>
      <c r="ONY4751" s="693"/>
      <c r="ONZ4751" s="696"/>
      <c r="OOA4751" s="693"/>
      <c r="OOB4751" s="696"/>
      <c r="OOC4751" s="693"/>
      <c r="OOD4751" s="696"/>
      <c r="OOE4751" s="693"/>
      <c r="OOF4751" s="696"/>
      <c r="OOG4751" s="693"/>
      <c r="OOH4751" s="696"/>
      <c r="OOI4751" s="693"/>
      <c r="OOJ4751" s="696"/>
      <c r="OOK4751" s="693"/>
      <c r="OOL4751" s="696"/>
      <c r="OOM4751" s="693"/>
      <c r="OON4751" s="696"/>
      <c r="OOO4751" s="693"/>
      <c r="OOP4751" s="696"/>
      <c r="OOQ4751" s="693"/>
      <c r="OOR4751" s="696"/>
      <c r="OOS4751" s="693"/>
      <c r="OOT4751" s="696"/>
      <c r="OOU4751" s="693"/>
      <c r="OOV4751" s="696"/>
      <c r="OOW4751" s="693"/>
      <c r="OOX4751" s="696"/>
      <c r="OOY4751" s="693"/>
      <c r="OOZ4751" s="696"/>
      <c r="OPA4751" s="693"/>
      <c r="OPB4751" s="696"/>
      <c r="OPC4751" s="693"/>
      <c r="OPD4751" s="696"/>
      <c r="OPE4751" s="693"/>
      <c r="OPF4751" s="696"/>
      <c r="OPG4751" s="693"/>
      <c r="OPH4751" s="696"/>
      <c r="OPI4751" s="693"/>
      <c r="OPJ4751" s="696"/>
      <c r="OPK4751" s="693"/>
      <c r="OPL4751" s="696"/>
      <c r="OPM4751" s="693"/>
      <c r="OPN4751" s="696"/>
      <c r="OPO4751" s="693"/>
      <c r="OPP4751" s="696"/>
      <c r="OPQ4751" s="693"/>
      <c r="OPR4751" s="696"/>
      <c r="OPS4751" s="693"/>
      <c r="OPT4751" s="696"/>
      <c r="OPU4751" s="693"/>
      <c r="OPV4751" s="696"/>
      <c r="OPW4751" s="693"/>
      <c r="OPX4751" s="696"/>
      <c r="OPY4751" s="693"/>
      <c r="OPZ4751" s="696"/>
      <c r="OQA4751" s="693"/>
      <c r="OQB4751" s="696"/>
      <c r="OQC4751" s="693"/>
      <c r="OQD4751" s="696"/>
      <c r="OQE4751" s="693"/>
      <c r="OQF4751" s="696"/>
      <c r="OQG4751" s="693"/>
      <c r="OQH4751" s="696"/>
      <c r="OQI4751" s="693"/>
      <c r="OQJ4751" s="696"/>
      <c r="OQK4751" s="693"/>
      <c r="OQL4751" s="696"/>
      <c r="OQM4751" s="693"/>
      <c r="OQN4751" s="696"/>
      <c r="OQO4751" s="693"/>
      <c r="OQP4751" s="696"/>
      <c r="OQQ4751" s="693"/>
      <c r="OQR4751" s="696"/>
      <c r="OQS4751" s="693"/>
      <c r="OQT4751" s="696"/>
      <c r="OQU4751" s="693"/>
      <c r="OQV4751" s="696"/>
      <c r="OQW4751" s="693"/>
      <c r="OQX4751" s="696"/>
      <c r="OQY4751" s="693"/>
      <c r="OQZ4751" s="696"/>
      <c r="ORA4751" s="693"/>
      <c r="ORB4751" s="696"/>
      <c r="ORC4751" s="693"/>
      <c r="ORD4751" s="696"/>
      <c r="ORE4751" s="693"/>
      <c r="ORF4751" s="696"/>
      <c r="ORG4751" s="693"/>
      <c r="ORH4751" s="696"/>
      <c r="ORI4751" s="693"/>
      <c r="ORJ4751" s="696"/>
      <c r="ORK4751" s="693"/>
      <c r="ORL4751" s="696"/>
      <c r="ORM4751" s="693"/>
      <c r="ORN4751" s="696"/>
      <c r="ORO4751" s="693"/>
      <c r="ORP4751" s="696"/>
      <c r="ORQ4751" s="693"/>
      <c r="ORR4751" s="696"/>
      <c r="ORS4751" s="693"/>
      <c r="ORT4751" s="696"/>
      <c r="ORU4751" s="693"/>
      <c r="ORV4751" s="696"/>
      <c r="ORW4751" s="693"/>
      <c r="ORX4751" s="696"/>
      <c r="ORY4751" s="693"/>
      <c r="ORZ4751" s="696"/>
      <c r="OSA4751" s="693"/>
      <c r="OSB4751" s="696"/>
      <c r="OSC4751" s="693"/>
      <c r="OSD4751" s="696"/>
      <c r="OSE4751" s="693"/>
      <c r="OSF4751" s="696"/>
      <c r="OSG4751" s="693"/>
      <c r="OSH4751" s="696"/>
      <c r="OSI4751" s="693"/>
      <c r="OSJ4751" s="696"/>
      <c r="OSK4751" s="693"/>
      <c r="OSL4751" s="696"/>
      <c r="OSM4751" s="693"/>
      <c r="OSN4751" s="696"/>
      <c r="OSO4751" s="693"/>
      <c r="OSP4751" s="696"/>
      <c r="OSQ4751" s="693"/>
      <c r="OSR4751" s="696"/>
      <c r="OSS4751" s="693"/>
      <c r="OST4751" s="696"/>
      <c r="OSU4751" s="693"/>
      <c r="OSV4751" s="696"/>
      <c r="OSW4751" s="693"/>
      <c r="OSX4751" s="696"/>
      <c r="OSY4751" s="693"/>
      <c r="OSZ4751" s="696"/>
      <c r="OTA4751" s="693"/>
      <c r="OTB4751" s="696"/>
      <c r="OTC4751" s="693"/>
      <c r="OTD4751" s="696"/>
      <c r="OTE4751" s="693"/>
      <c r="OTF4751" s="696"/>
      <c r="OTG4751" s="693"/>
      <c r="OTH4751" s="696"/>
      <c r="OTI4751" s="693"/>
      <c r="OTJ4751" s="696"/>
      <c r="OTK4751" s="693"/>
      <c r="OTL4751" s="696"/>
      <c r="OTM4751" s="693"/>
      <c r="OTN4751" s="696"/>
      <c r="OTO4751" s="693"/>
      <c r="OTP4751" s="696"/>
      <c r="OTQ4751" s="693"/>
      <c r="OTR4751" s="696"/>
      <c r="OTS4751" s="693"/>
      <c r="OTT4751" s="696"/>
      <c r="OTU4751" s="693"/>
      <c r="OTV4751" s="696"/>
      <c r="OTW4751" s="693"/>
      <c r="OTX4751" s="696"/>
      <c r="OTY4751" s="693"/>
      <c r="OTZ4751" s="696"/>
      <c r="OUA4751" s="693"/>
      <c r="OUB4751" s="696"/>
      <c r="OUC4751" s="693"/>
      <c r="OUD4751" s="696"/>
      <c r="OUE4751" s="693"/>
      <c r="OUF4751" s="696"/>
      <c r="OUG4751" s="693"/>
      <c r="OUH4751" s="696"/>
      <c r="OUI4751" s="693"/>
      <c r="OUJ4751" s="696"/>
      <c r="OUK4751" s="693"/>
      <c r="OUL4751" s="696"/>
      <c r="OUM4751" s="693"/>
      <c r="OUN4751" s="696"/>
      <c r="OUO4751" s="693"/>
      <c r="OUP4751" s="696"/>
      <c r="OUQ4751" s="693"/>
      <c r="OUR4751" s="696"/>
      <c r="OUS4751" s="693"/>
      <c r="OUT4751" s="696"/>
      <c r="OUU4751" s="693"/>
      <c r="OUV4751" s="696"/>
      <c r="OUW4751" s="693"/>
      <c r="OUX4751" s="696"/>
      <c r="OUY4751" s="693"/>
      <c r="OUZ4751" s="696"/>
      <c r="OVA4751" s="693"/>
      <c r="OVB4751" s="696"/>
      <c r="OVC4751" s="693"/>
      <c r="OVD4751" s="696"/>
      <c r="OVE4751" s="693"/>
      <c r="OVF4751" s="696"/>
      <c r="OVG4751" s="693"/>
      <c r="OVH4751" s="696"/>
      <c r="OVI4751" s="693"/>
      <c r="OVJ4751" s="696"/>
      <c r="OVK4751" s="693"/>
      <c r="OVL4751" s="696"/>
      <c r="OVM4751" s="693"/>
      <c r="OVN4751" s="696"/>
      <c r="OVO4751" s="693"/>
      <c r="OVP4751" s="696"/>
      <c r="OVQ4751" s="693"/>
      <c r="OVR4751" s="696"/>
      <c r="OVS4751" s="693"/>
      <c r="OVT4751" s="696"/>
      <c r="OVU4751" s="693"/>
      <c r="OVV4751" s="696"/>
      <c r="OVW4751" s="693"/>
      <c r="OVX4751" s="696"/>
      <c r="OVY4751" s="693"/>
      <c r="OVZ4751" s="696"/>
      <c r="OWA4751" s="693"/>
      <c r="OWB4751" s="696"/>
      <c r="OWC4751" s="693"/>
      <c r="OWD4751" s="696"/>
      <c r="OWE4751" s="693"/>
      <c r="OWF4751" s="696"/>
      <c r="OWG4751" s="693"/>
      <c r="OWH4751" s="696"/>
      <c r="OWI4751" s="693"/>
      <c r="OWJ4751" s="696"/>
      <c r="OWK4751" s="693"/>
      <c r="OWL4751" s="696"/>
      <c r="OWM4751" s="693"/>
      <c r="OWN4751" s="696"/>
      <c r="OWO4751" s="693"/>
      <c r="OWP4751" s="696"/>
      <c r="OWQ4751" s="693"/>
      <c r="OWR4751" s="696"/>
      <c r="OWS4751" s="693"/>
      <c r="OWT4751" s="696"/>
      <c r="OWU4751" s="693"/>
      <c r="OWV4751" s="696"/>
      <c r="OWW4751" s="693"/>
      <c r="OWX4751" s="696"/>
      <c r="OWY4751" s="693"/>
      <c r="OWZ4751" s="696"/>
      <c r="OXA4751" s="693"/>
      <c r="OXB4751" s="696"/>
      <c r="OXC4751" s="693"/>
      <c r="OXD4751" s="696"/>
      <c r="OXE4751" s="693"/>
      <c r="OXF4751" s="696"/>
      <c r="OXG4751" s="693"/>
      <c r="OXH4751" s="696"/>
      <c r="OXI4751" s="693"/>
      <c r="OXJ4751" s="696"/>
      <c r="OXK4751" s="693"/>
      <c r="OXL4751" s="696"/>
      <c r="OXM4751" s="693"/>
      <c r="OXN4751" s="696"/>
      <c r="OXO4751" s="693"/>
      <c r="OXP4751" s="696"/>
      <c r="OXQ4751" s="693"/>
      <c r="OXR4751" s="696"/>
      <c r="OXS4751" s="693"/>
      <c r="OXT4751" s="696"/>
      <c r="OXU4751" s="693"/>
      <c r="OXV4751" s="696"/>
      <c r="OXW4751" s="693"/>
      <c r="OXX4751" s="696"/>
      <c r="OXY4751" s="693"/>
      <c r="OXZ4751" s="696"/>
      <c r="OYA4751" s="693"/>
      <c r="OYB4751" s="696"/>
      <c r="OYC4751" s="693"/>
      <c r="OYD4751" s="696"/>
      <c r="OYE4751" s="693"/>
      <c r="OYF4751" s="696"/>
      <c r="OYG4751" s="693"/>
      <c r="OYH4751" s="696"/>
      <c r="OYI4751" s="693"/>
      <c r="OYJ4751" s="696"/>
      <c r="OYK4751" s="693"/>
      <c r="OYL4751" s="696"/>
      <c r="OYM4751" s="693"/>
      <c r="OYN4751" s="696"/>
      <c r="OYO4751" s="693"/>
      <c r="OYP4751" s="696"/>
      <c r="OYQ4751" s="693"/>
      <c r="OYR4751" s="696"/>
      <c r="OYS4751" s="693"/>
      <c r="OYT4751" s="696"/>
      <c r="OYU4751" s="693"/>
      <c r="OYV4751" s="696"/>
      <c r="OYW4751" s="693"/>
      <c r="OYX4751" s="696"/>
      <c r="OYY4751" s="693"/>
      <c r="OYZ4751" s="696"/>
      <c r="OZA4751" s="693"/>
      <c r="OZB4751" s="696"/>
      <c r="OZC4751" s="693"/>
      <c r="OZD4751" s="696"/>
      <c r="OZE4751" s="693"/>
      <c r="OZF4751" s="696"/>
      <c r="OZG4751" s="693"/>
      <c r="OZH4751" s="696"/>
      <c r="OZI4751" s="693"/>
      <c r="OZJ4751" s="696"/>
      <c r="OZK4751" s="693"/>
      <c r="OZL4751" s="696"/>
      <c r="OZM4751" s="693"/>
      <c r="OZN4751" s="696"/>
      <c r="OZO4751" s="693"/>
      <c r="OZP4751" s="696"/>
      <c r="OZQ4751" s="693"/>
      <c r="OZR4751" s="696"/>
      <c r="OZS4751" s="693"/>
      <c r="OZT4751" s="696"/>
      <c r="OZU4751" s="693"/>
      <c r="OZV4751" s="696"/>
      <c r="OZW4751" s="693"/>
      <c r="OZX4751" s="696"/>
      <c r="OZY4751" s="693"/>
      <c r="OZZ4751" s="696"/>
      <c r="PAA4751" s="693"/>
      <c r="PAB4751" s="696"/>
      <c r="PAC4751" s="693"/>
      <c r="PAD4751" s="696"/>
      <c r="PAE4751" s="693"/>
      <c r="PAF4751" s="696"/>
      <c r="PAG4751" s="693"/>
      <c r="PAH4751" s="696"/>
      <c r="PAI4751" s="693"/>
      <c r="PAJ4751" s="696"/>
      <c r="PAK4751" s="693"/>
      <c r="PAL4751" s="696"/>
      <c r="PAM4751" s="693"/>
      <c r="PAN4751" s="696"/>
      <c r="PAO4751" s="693"/>
      <c r="PAP4751" s="696"/>
      <c r="PAQ4751" s="693"/>
      <c r="PAR4751" s="696"/>
      <c r="PAS4751" s="693"/>
      <c r="PAT4751" s="696"/>
      <c r="PAU4751" s="693"/>
      <c r="PAV4751" s="696"/>
      <c r="PAW4751" s="693"/>
      <c r="PAX4751" s="696"/>
      <c r="PAY4751" s="693"/>
      <c r="PAZ4751" s="696"/>
      <c r="PBA4751" s="693"/>
      <c r="PBB4751" s="696"/>
      <c r="PBC4751" s="693"/>
      <c r="PBD4751" s="696"/>
      <c r="PBE4751" s="693"/>
      <c r="PBF4751" s="696"/>
      <c r="PBG4751" s="693"/>
      <c r="PBH4751" s="696"/>
      <c r="PBI4751" s="693"/>
      <c r="PBJ4751" s="696"/>
      <c r="PBK4751" s="693"/>
      <c r="PBL4751" s="696"/>
      <c r="PBM4751" s="693"/>
      <c r="PBN4751" s="696"/>
      <c r="PBO4751" s="693"/>
      <c r="PBP4751" s="696"/>
      <c r="PBQ4751" s="693"/>
      <c r="PBR4751" s="696"/>
      <c r="PBS4751" s="693"/>
      <c r="PBT4751" s="696"/>
      <c r="PBU4751" s="693"/>
      <c r="PBV4751" s="696"/>
      <c r="PBW4751" s="693"/>
      <c r="PBX4751" s="696"/>
      <c r="PBY4751" s="693"/>
      <c r="PBZ4751" s="696"/>
      <c r="PCA4751" s="693"/>
      <c r="PCB4751" s="696"/>
      <c r="PCC4751" s="693"/>
      <c r="PCD4751" s="696"/>
      <c r="PCE4751" s="693"/>
      <c r="PCF4751" s="696"/>
      <c r="PCG4751" s="693"/>
      <c r="PCH4751" s="696"/>
      <c r="PCI4751" s="693"/>
      <c r="PCJ4751" s="696"/>
      <c r="PCK4751" s="693"/>
      <c r="PCL4751" s="696"/>
      <c r="PCM4751" s="693"/>
      <c r="PCN4751" s="696"/>
      <c r="PCO4751" s="693"/>
      <c r="PCP4751" s="696"/>
      <c r="PCQ4751" s="693"/>
      <c r="PCR4751" s="696"/>
      <c r="PCS4751" s="693"/>
      <c r="PCT4751" s="696"/>
      <c r="PCU4751" s="693"/>
      <c r="PCV4751" s="696"/>
      <c r="PCW4751" s="693"/>
      <c r="PCX4751" s="696"/>
      <c r="PCY4751" s="693"/>
      <c r="PCZ4751" s="696"/>
      <c r="PDA4751" s="693"/>
      <c r="PDB4751" s="696"/>
      <c r="PDC4751" s="693"/>
      <c r="PDD4751" s="696"/>
      <c r="PDE4751" s="693"/>
      <c r="PDF4751" s="696"/>
      <c r="PDG4751" s="693"/>
      <c r="PDH4751" s="696"/>
      <c r="PDI4751" s="693"/>
      <c r="PDJ4751" s="696"/>
      <c r="PDK4751" s="693"/>
      <c r="PDL4751" s="696"/>
      <c r="PDM4751" s="693"/>
      <c r="PDN4751" s="696"/>
      <c r="PDO4751" s="693"/>
      <c r="PDP4751" s="696"/>
      <c r="PDQ4751" s="693"/>
      <c r="PDR4751" s="696"/>
      <c r="PDS4751" s="693"/>
      <c r="PDT4751" s="696"/>
      <c r="PDU4751" s="693"/>
      <c r="PDV4751" s="696"/>
      <c r="PDW4751" s="693"/>
      <c r="PDX4751" s="696"/>
      <c r="PDY4751" s="693"/>
      <c r="PDZ4751" s="696"/>
      <c r="PEA4751" s="693"/>
      <c r="PEB4751" s="696"/>
      <c r="PEC4751" s="693"/>
      <c r="PED4751" s="696"/>
      <c r="PEE4751" s="693"/>
      <c r="PEF4751" s="696"/>
      <c r="PEG4751" s="693"/>
      <c r="PEH4751" s="696"/>
      <c r="PEI4751" s="693"/>
      <c r="PEJ4751" s="696"/>
      <c r="PEK4751" s="693"/>
      <c r="PEL4751" s="696"/>
      <c r="PEM4751" s="693"/>
      <c r="PEN4751" s="696"/>
      <c r="PEO4751" s="693"/>
      <c r="PEP4751" s="696"/>
      <c r="PEQ4751" s="693"/>
      <c r="PER4751" s="696"/>
      <c r="PES4751" s="693"/>
      <c r="PET4751" s="696"/>
      <c r="PEU4751" s="693"/>
      <c r="PEV4751" s="696"/>
      <c r="PEW4751" s="693"/>
      <c r="PEX4751" s="696"/>
      <c r="PEY4751" s="693"/>
      <c r="PEZ4751" s="696"/>
      <c r="PFA4751" s="693"/>
      <c r="PFB4751" s="696"/>
      <c r="PFC4751" s="693"/>
      <c r="PFD4751" s="696"/>
      <c r="PFE4751" s="693"/>
      <c r="PFF4751" s="696"/>
      <c r="PFG4751" s="693"/>
      <c r="PFH4751" s="696"/>
      <c r="PFI4751" s="693"/>
      <c r="PFJ4751" s="696"/>
      <c r="PFK4751" s="693"/>
      <c r="PFL4751" s="696"/>
      <c r="PFM4751" s="693"/>
      <c r="PFN4751" s="696"/>
      <c r="PFO4751" s="693"/>
      <c r="PFP4751" s="696"/>
      <c r="PFQ4751" s="693"/>
      <c r="PFR4751" s="696"/>
      <c r="PFS4751" s="693"/>
      <c r="PFT4751" s="696"/>
      <c r="PFU4751" s="693"/>
      <c r="PFV4751" s="696"/>
      <c r="PFW4751" s="693"/>
      <c r="PFX4751" s="696"/>
      <c r="PFY4751" s="693"/>
      <c r="PFZ4751" s="696"/>
      <c r="PGA4751" s="693"/>
      <c r="PGB4751" s="696"/>
      <c r="PGC4751" s="693"/>
      <c r="PGD4751" s="696"/>
      <c r="PGE4751" s="693"/>
      <c r="PGF4751" s="696"/>
      <c r="PGG4751" s="693"/>
      <c r="PGH4751" s="696"/>
      <c r="PGI4751" s="693"/>
      <c r="PGJ4751" s="696"/>
      <c r="PGK4751" s="693"/>
      <c r="PGL4751" s="696"/>
      <c r="PGM4751" s="693"/>
      <c r="PGN4751" s="696"/>
      <c r="PGO4751" s="693"/>
      <c r="PGP4751" s="696"/>
      <c r="PGQ4751" s="693"/>
      <c r="PGR4751" s="696"/>
      <c r="PGS4751" s="693"/>
      <c r="PGT4751" s="696"/>
      <c r="PGU4751" s="693"/>
      <c r="PGV4751" s="696"/>
      <c r="PGW4751" s="693"/>
      <c r="PGX4751" s="696"/>
      <c r="PGY4751" s="693"/>
      <c r="PGZ4751" s="696"/>
      <c r="PHA4751" s="693"/>
      <c r="PHB4751" s="696"/>
      <c r="PHC4751" s="693"/>
      <c r="PHD4751" s="696"/>
      <c r="PHE4751" s="693"/>
      <c r="PHF4751" s="696"/>
      <c r="PHG4751" s="693"/>
      <c r="PHH4751" s="696"/>
      <c r="PHI4751" s="693"/>
      <c r="PHJ4751" s="696"/>
      <c r="PHK4751" s="693"/>
      <c r="PHL4751" s="696"/>
      <c r="PHM4751" s="693"/>
      <c r="PHN4751" s="696"/>
      <c r="PHO4751" s="693"/>
      <c r="PHP4751" s="696"/>
      <c r="PHQ4751" s="693"/>
      <c r="PHR4751" s="696"/>
      <c r="PHS4751" s="693"/>
      <c r="PHT4751" s="696"/>
      <c r="PHU4751" s="693"/>
      <c r="PHV4751" s="696"/>
      <c r="PHW4751" s="693"/>
      <c r="PHX4751" s="696"/>
      <c r="PHY4751" s="693"/>
      <c r="PHZ4751" s="696"/>
      <c r="PIA4751" s="693"/>
      <c r="PIB4751" s="696"/>
      <c r="PIC4751" s="693"/>
      <c r="PID4751" s="696"/>
      <c r="PIE4751" s="693"/>
      <c r="PIF4751" s="696"/>
      <c r="PIG4751" s="693"/>
      <c r="PIH4751" s="696"/>
      <c r="PII4751" s="693"/>
      <c r="PIJ4751" s="696"/>
      <c r="PIK4751" s="693"/>
      <c r="PIL4751" s="696"/>
      <c r="PIM4751" s="693"/>
      <c r="PIN4751" s="696"/>
      <c r="PIO4751" s="693"/>
      <c r="PIP4751" s="696"/>
      <c r="PIQ4751" s="693"/>
      <c r="PIR4751" s="696"/>
      <c r="PIS4751" s="693"/>
      <c r="PIT4751" s="696"/>
      <c r="PIU4751" s="693"/>
      <c r="PIV4751" s="696"/>
      <c r="PIW4751" s="693"/>
      <c r="PIX4751" s="696"/>
      <c r="PIY4751" s="693"/>
      <c r="PIZ4751" s="696"/>
      <c r="PJA4751" s="693"/>
      <c r="PJB4751" s="696"/>
      <c r="PJC4751" s="693"/>
      <c r="PJD4751" s="696"/>
      <c r="PJE4751" s="693"/>
      <c r="PJF4751" s="696"/>
      <c r="PJG4751" s="693"/>
      <c r="PJH4751" s="696"/>
      <c r="PJI4751" s="693"/>
      <c r="PJJ4751" s="696"/>
      <c r="PJK4751" s="693"/>
      <c r="PJL4751" s="696"/>
      <c r="PJM4751" s="693"/>
      <c r="PJN4751" s="696"/>
      <c r="PJO4751" s="693"/>
      <c r="PJP4751" s="696"/>
      <c r="PJQ4751" s="693"/>
      <c r="PJR4751" s="696"/>
      <c r="PJS4751" s="693"/>
      <c r="PJT4751" s="696"/>
      <c r="PJU4751" s="693"/>
      <c r="PJV4751" s="696"/>
      <c r="PJW4751" s="693"/>
      <c r="PJX4751" s="696"/>
      <c r="PJY4751" s="693"/>
      <c r="PJZ4751" s="696"/>
      <c r="PKA4751" s="693"/>
      <c r="PKB4751" s="696"/>
      <c r="PKC4751" s="693"/>
      <c r="PKD4751" s="696"/>
      <c r="PKE4751" s="693"/>
      <c r="PKF4751" s="696"/>
      <c r="PKG4751" s="693"/>
      <c r="PKH4751" s="696"/>
      <c r="PKI4751" s="693"/>
      <c r="PKJ4751" s="696"/>
      <c r="PKK4751" s="693"/>
      <c r="PKL4751" s="696"/>
      <c r="PKM4751" s="693"/>
      <c r="PKN4751" s="696"/>
      <c r="PKO4751" s="693"/>
      <c r="PKP4751" s="696"/>
      <c r="PKQ4751" s="693"/>
      <c r="PKR4751" s="696"/>
      <c r="PKS4751" s="693"/>
      <c r="PKT4751" s="696"/>
      <c r="PKU4751" s="693"/>
      <c r="PKV4751" s="696"/>
      <c r="PKW4751" s="693"/>
      <c r="PKX4751" s="696"/>
      <c r="PKY4751" s="693"/>
      <c r="PKZ4751" s="696"/>
      <c r="PLA4751" s="693"/>
      <c r="PLB4751" s="696"/>
      <c r="PLC4751" s="693"/>
      <c r="PLD4751" s="696"/>
      <c r="PLE4751" s="693"/>
      <c r="PLF4751" s="696"/>
      <c r="PLG4751" s="693"/>
      <c r="PLH4751" s="696"/>
      <c r="PLI4751" s="693"/>
      <c r="PLJ4751" s="696"/>
      <c r="PLK4751" s="693"/>
      <c r="PLL4751" s="696"/>
      <c r="PLM4751" s="693"/>
      <c r="PLN4751" s="696"/>
      <c r="PLO4751" s="693"/>
      <c r="PLP4751" s="696"/>
      <c r="PLQ4751" s="693"/>
      <c r="PLR4751" s="696"/>
      <c r="PLS4751" s="693"/>
      <c r="PLT4751" s="696"/>
      <c r="PLU4751" s="693"/>
      <c r="PLV4751" s="696"/>
      <c r="PLW4751" s="693"/>
      <c r="PLX4751" s="696"/>
      <c r="PLY4751" s="693"/>
      <c r="PLZ4751" s="696"/>
      <c r="PMA4751" s="693"/>
      <c r="PMB4751" s="696"/>
      <c r="PMC4751" s="693"/>
      <c r="PMD4751" s="696"/>
      <c r="PME4751" s="693"/>
      <c r="PMF4751" s="696"/>
      <c r="PMG4751" s="693"/>
      <c r="PMH4751" s="696"/>
      <c r="PMI4751" s="693"/>
      <c r="PMJ4751" s="696"/>
      <c r="PMK4751" s="693"/>
      <c r="PML4751" s="696"/>
      <c r="PMM4751" s="693"/>
      <c r="PMN4751" s="696"/>
      <c r="PMO4751" s="693"/>
      <c r="PMP4751" s="696"/>
      <c r="PMQ4751" s="693"/>
      <c r="PMR4751" s="696"/>
      <c r="PMS4751" s="693"/>
      <c r="PMT4751" s="696"/>
      <c r="PMU4751" s="693"/>
      <c r="PMV4751" s="696"/>
      <c r="PMW4751" s="693"/>
      <c r="PMX4751" s="696"/>
      <c r="PMY4751" s="693"/>
      <c r="PMZ4751" s="696"/>
      <c r="PNA4751" s="693"/>
      <c r="PNB4751" s="696"/>
      <c r="PNC4751" s="693"/>
      <c r="PND4751" s="696"/>
      <c r="PNE4751" s="693"/>
      <c r="PNF4751" s="696"/>
      <c r="PNG4751" s="693"/>
      <c r="PNH4751" s="696"/>
      <c r="PNI4751" s="693"/>
      <c r="PNJ4751" s="696"/>
      <c r="PNK4751" s="693"/>
      <c r="PNL4751" s="696"/>
      <c r="PNM4751" s="693"/>
      <c r="PNN4751" s="696"/>
      <c r="PNO4751" s="693"/>
      <c r="PNP4751" s="696"/>
      <c r="PNQ4751" s="693"/>
      <c r="PNR4751" s="696"/>
      <c r="PNS4751" s="693"/>
      <c r="PNT4751" s="696"/>
      <c r="PNU4751" s="693"/>
      <c r="PNV4751" s="696"/>
      <c r="PNW4751" s="693"/>
      <c r="PNX4751" s="696"/>
      <c r="PNY4751" s="693"/>
      <c r="PNZ4751" s="696"/>
      <c r="POA4751" s="693"/>
      <c r="POB4751" s="696"/>
      <c r="POC4751" s="693"/>
      <c r="POD4751" s="696"/>
      <c r="POE4751" s="693"/>
      <c r="POF4751" s="696"/>
      <c r="POG4751" s="693"/>
      <c r="POH4751" s="696"/>
      <c r="POI4751" s="693"/>
      <c r="POJ4751" s="696"/>
      <c r="POK4751" s="693"/>
      <c r="POL4751" s="696"/>
      <c r="POM4751" s="693"/>
      <c r="PON4751" s="696"/>
      <c r="POO4751" s="693"/>
      <c r="POP4751" s="696"/>
      <c r="POQ4751" s="693"/>
      <c r="POR4751" s="696"/>
      <c r="POS4751" s="693"/>
      <c r="POT4751" s="696"/>
      <c r="POU4751" s="693"/>
      <c r="POV4751" s="696"/>
      <c r="POW4751" s="693"/>
      <c r="POX4751" s="696"/>
      <c r="POY4751" s="693"/>
      <c r="POZ4751" s="696"/>
      <c r="PPA4751" s="693"/>
      <c r="PPB4751" s="696"/>
      <c r="PPC4751" s="693"/>
      <c r="PPD4751" s="696"/>
      <c r="PPE4751" s="693"/>
      <c r="PPF4751" s="696"/>
      <c r="PPG4751" s="693"/>
      <c r="PPH4751" s="696"/>
      <c r="PPI4751" s="693"/>
      <c r="PPJ4751" s="696"/>
      <c r="PPK4751" s="693"/>
      <c r="PPL4751" s="696"/>
      <c r="PPM4751" s="693"/>
      <c r="PPN4751" s="696"/>
      <c r="PPO4751" s="693"/>
      <c r="PPP4751" s="696"/>
      <c r="PPQ4751" s="693"/>
      <c r="PPR4751" s="696"/>
      <c r="PPS4751" s="693"/>
      <c r="PPT4751" s="696"/>
      <c r="PPU4751" s="693"/>
      <c r="PPV4751" s="696"/>
      <c r="PPW4751" s="693"/>
      <c r="PPX4751" s="696"/>
      <c r="PPY4751" s="693"/>
      <c r="PPZ4751" s="696"/>
      <c r="PQA4751" s="693"/>
      <c r="PQB4751" s="696"/>
      <c r="PQC4751" s="693"/>
      <c r="PQD4751" s="696"/>
      <c r="PQE4751" s="693"/>
      <c r="PQF4751" s="696"/>
      <c r="PQG4751" s="693"/>
      <c r="PQH4751" s="696"/>
      <c r="PQI4751" s="693"/>
      <c r="PQJ4751" s="696"/>
      <c r="PQK4751" s="693"/>
      <c r="PQL4751" s="696"/>
      <c r="PQM4751" s="693"/>
      <c r="PQN4751" s="696"/>
      <c r="PQO4751" s="693"/>
      <c r="PQP4751" s="696"/>
      <c r="PQQ4751" s="693"/>
      <c r="PQR4751" s="696"/>
      <c r="PQS4751" s="693"/>
      <c r="PQT4751" s="696"/>
      <c r="PQU4751" s="693"/>
      <c r="PQV4751" s="696"/>
      <c r="PQW4751" s="693"/>
      <c r="PQX4751" s="696"/>
      <c r="PQY4751" s="693"/>
      <c r="PQZ4751" s="696"/>
      <c r="PRA4751" s="693"/>
      <c r="PRB4751" s="696"/>
      <c r="PRC4751" s="693"/>
      <c r="PRD4751" s="696"/>
      <c r="PRE4751" s="693"/>
      <c r="PRF4751" s="696"/>
      <c r="PRG4751" s="693"/>
      <c r="PRH4751" s="696"/>
      <c r="PRI4751" s="693"/>
      <c r="PRJ4751" s="696"/>
      <c r="PRK4751" s="693"/>
      <c r="PRL4751" s="696"/>
      <c r="PRM4751" s="693"/>
      <c r="PRN4751" s="696"/>
      <c r="PRO4751" s="693"/>
      <c r="PRP4751" s="696"/>
      <c r="PRQ4751" s="693"/>
      <c r="PRR4751" s="696"/>
      <c r="PRS4751" s="693"/>
      <c r="PRT4751" s="696"/>
      <c r="PRU4751" s="693"/>
      <c r="PRV4751" s="696"/>
      <c r="PRW4751" s="693"/>
      <c r="PRX4751" s="696"/>
      <c r="PRY4751" s="693"/>
      <c r="PRZ4751" s="696"/>
      <c r="PSA4751" s="693"/>
      <c r="PSB4751" s="696"/>
      <c r="PSC4751" s="693"/>
      <c r="PSD4751" s="696"/>
      <c r="PSE4751" s="693"/>
      <c r="PSF4751" s="696"/>
      <c r="PSG4751" s="693"/>
      <c r="PSH4751" s="696"/>
      <c r="PSI4751" s="693"/>
      <c r="PSJ4751" s="696"/>
      <c r="PSK4751" s="693"/>
      <c r="PSL4751" s="696"/>
      <c r="PSM4751" s="693"/>
      <c r="PSN4751" s="696"/>
      <c r="PSO4751" s="693"/>
      <c r="PSP4751" s="696"/>
      <c r="PSQ4751" s="693"/>
      <c r="PSR4751" s="696"/>
      <c r="PSS4751" s="693"/>
      <c r="PST4751" s="696"/>
      <c r="PSU4751" s="693"/>
      <c r="PSV4751" s="696"/>
      <c r="PSW4751" s="693"/>
      <c r="PSX4751" s="696"/>
      <c r="PSY4751" s="693"/>
      <c r="PSZ4751" s="696"/>
      <c r="PTA4751" s="693"/>
      <c r="PTB4751" s="696"/>
      <c r="PTC4751" s="693"/>
      <c r="PTD4751" s="696"/>
      <c r="PTE4751" s="693"/>
      <c r="PTF4751" s="696"/>
      <c r="PTG4751" s="693"/>
      <c r="PTH4751" s="696"/>
      <c r="PTI4751" s="693"/>
      <c r="PTJ4751" s="696"/>
      <c r="PTK4751" s="693"/>
      <c r="PTL4751" s="696"/>
      <c r="PTM4751" s="693"/>
      <c r="PTN4751" s="696"/>
      <c r="PTO4751" s="693"/>
      <c r="PTP4751" s="696"/>
      <c r="PTQ4751" s="693"/>
      <c r="PTR4751" s="696"/>
      <c r="PTS4751" s="693"/>
      <c r="PTT4751" s="696"/>
      <c r="PTU4751" s="693"/>
      <c r="PTV4751" s="696"/>
      <c r="PTW4751" s="693"/>
      <c r="PTX4751" s="696"/>
      <c r="PTY4751" s="693"/>
      <c r="PTZ4751" s="696"/>
      <c r="PUA4751" s="693"/>
      <c r="PUB4751" s="696"/>
      <c r="PUC4751" s="693"/>
      <c r="PUD4751" s="696"/>
      <c r="PUE4751" s="693"/>
      <c r="PUF4751" s="696"/>
      <c r="PUG4751" s="693"/>
      <c r="PUH4751" s="696"/>
      <c r="PUI4751" s="693"/>
      <c r="PUJ4751" s="696"/>
      <c r="PUK4751" s="693"/>
      <c r="PUL4751" s="696"/>
      <c r="PUM4751" s="693"/>
      <c r="PUN4751" s="696"/>
      <c r="PUO4751" s="693"/>
      <c r="PUP4751" s="696"/>
      <c r="PUQ4751" s="693"/>
      <c r="PUR4751" s="696"/>
      <c r="PUS4751" s="693"/>
      <c r="PUT4751" s="696"/>
      <c r="PUU4751" s="693"/>
      <c r="PUV4751" s="696"/>
      <c r="PUW4751" s="693"/>
      <c r="PUX4751" s="696"/>
      <c r="PUY4751" s="693"/>
      <c r="PUZ4751" s="696"/>
      <c r="PVA4751" s="693"/>
      <c r="PVB4751" s="696"/>
      <c r="PVC4751" s="693"/>
      <c r="PVD4751" s="696"/>
      <c r="PVE4751" s="693"/>
      <c r="PVF4751" s="696"/>
      <c r="PVG4751" s="693"/>
      <c r="PVH4751" s="696"/>
      <c r="PVI4751" s="693"/>
      <c r="PVJ4751" s="696"/>
      <c r="PVK4751" s="693"/>
      <c r="PVL4751" s="696"/>
      <c r="PVM4751" s="693"/>
      <c r="PVN4751" s="696"/>
      <c r="PVO4751" s="693"/>
      <c r="PVP4751" s="696"/>
      <c r="PVQ4751" s="693"/>
      <c r="PVR4751" s="696"/>
      <c r="PVS4751" s="693"/>
      <c r="PVT4751" s="696"/>
      <c r="PVU4751" s="693"/>
      <c r="PVV4751" s="696"/>
      <c r="PVW4751" s="693"/>
      <c r="PVX4751" s="696"/>
      <c r="PVY4751" s="693"/>
      <c r="PVZ4751" s="696"/>
      <c r="PWA4751" s="693"/>
      <c r="PWB4751" s="696"/>
      <c r="PWC4751" s="693"/>
      <c r="PWD4751" s="696"/>
      <c r="PWE4751" s="693"/>
      <c r="PWF4751" s="696"/>
      <c r="PWG4751" s="693"/>
      <c r="PWH4751" s="696"/>
      <c r="PWI4751" s="693"/>
      <c r="PWJ4751" s="696"/>
      <c r="PWK4751" s="693"/>
      <c r="PWL4751" s="696"/>
      <c r="PWM4751" s="693"/>
      <c r="PWN4751" s="696"/>
      <c r="PWO4751" s="693"/>
      <c r="PWP4751" s="696"/>
      <c r="PWQ4751" s="693"/>
      <c r="PWR4751" s="696"/>
      <c r="PWS4751" s="693"/>
      <c r="PWT4751" s="696"/>
      <c r="PWU4751" s="693"/>
      <c r="PWV4751" s="696"/>
      <c r="PWW4751" s="693"/>
      <c r="PWX4751" s="696"/>
      <c r="PWY4751" s="693"/>
      <c r="PWZ4751" s="696"/>
      <c r="PXA4751" s="693"/>
      <c r="PXB4751" s="696"/>
      <c r="PXC4751" s="693"/>
      <c r="PXD4751" s="696"/>
      <c r="PXE4751" s="693"/>
      <c r="PXF4751" s="696"/>
      <c r="PXG4751" s="693"/>
      <c r="PXH4751" s="696"/>
      <c r="PXI4751" s="693"/>
      <c r="PXJ4751" s="696"/>
      <c r="PXK4751" s="693"/>
      <c r="PXL4751" s="696"/>
      <c r="PXM4751" s="693"/>
      <c r="PXN4751" s="696"/>
      <c r="PXO4751" s="693"/>
      <c r="PXP4751" s="696"/>
      <c r="PXQ4751" s="693"/>
      <c r="PXR4751" s="696"/>
      <c r="PXS4751" s="693"/>
      <c r="PXT4751" s="696"/>
      <c r="PXU4751" s="693"/>
      <c r="PXV4751" s="696"/>
      <c r="PXW4751" s="693"/>
      <c r="PXX4751" s="696"/>
      <c r="PXY4751" s="693"/>
      <c r="PXZ4751" s="696"/>
      <c r="PYA4751" s="693"/>
      <c r="PYB4751" s="696"/>
      <c r="PYC4751" s="693"/>
      <c r="PYD4751" s="696"/>
      <c r="PYE4751" s="693"/>
      <c r="PYF4751" s="696"/>
      <c r="PYG4751" s="693"/>
      <c r="PYH4751" s="696"/>
      <c r="PYI4751" s="693"/>
      <c r="PYJ4751" s="696"/>
      <c r="PYK4751" s="693"/>
      <c r="PYL4751" s="696"/>
      <c r="PYM4751" s="693"/>
      <c r="PYN4751" s="696"/>
      <c r="PYO4751" s="693"/>
      <c r="PYP4751" s="696"/>
      <c r="PYQ4751" s="693"/>
      <c r="PYR4751" s="696"/>
      <c r="PYS4751" s="693"/>
      <c r="PYT4751" s="696"/>
      <c r="PYU4751" s="693"/>
      <c r="PYV4751" s="696"/>
      <c r="PYW4751" s="693"/>
      <c r="PYX4751" s="696"/>
      <c r="PYY4751" s="693"/>
      <c r="PYZ4751" s="696"/>
      <c r="PZA4751" s="693"/>
      <c r="PZB4751" s="696"/>
      <c r="PZC4751" s="693"/>
      <c r="PZD4751" s="696"/>
      <c r="PZE4751" s="693"/>
      <c r="PZF4751" s="696"/>
      <c r="PZG4751" s="693"/>
      <c r="PZH4751" s="696"/>
      <c r="PZI4751" s="693"/>
      <c r="PZJ4751" s="696"/>
      <c r="PZK4751" s="693"/>
      <c r="PZL4751" s="696"/>
      <c r="PZM4751" s="693"/>
      <c r="PZN4751" s="696"/>
      <c r="PZO4751" s="693"/>
      <c r="PZP4751" s="696"/>
      <c r="PZQ4751" s="693"/>
      <c r="PZR4751" s="696"/>
      <c r="PZS4751" s="693"/>
      <c r="PZT4751" s="696"/>
      <c r="PZU4751" s="693"/>
      <c r="PZV4751" s="696"/>
      <c r="PZW4751" s="693"/>
      <c r="PZX4751" s="696"/>
      <c r="PZY4751" s="693"/>
      <c r="PZZ4751" s="696"/>
      <c r="QAA4751" s="693"/>
      <c r="QAB4751" s="696"/>
      <c r="QAC4751" s="693"/>
      <c r="QAD4751" s="696"/>
      <c r="QAE4751" s="693"/>
      <c r="QAF4751" s="696"/>
      <c r="QAG4751" s="693"/>
      <c r="QAH4751" s="696"/>
      <c r="QAI4751" s="693"/>
      <c r="QAJ4751" s="696"/>
      <c r="QAK4751" s="693"/>
      <c r="QAL4751" s="696"/>
      <c r="QAM4751" s="693"/>
      <c r="QAN4751" s="696"/>
      <c r="QAO4751" s="693"/>
      <c r="QAP4751" s="696"/>
      <c r="QAQ4751" s="693"/>
      <c r="QAR4751" s="696"/>
      <c r="QAS4751" s="693"/>
      <c r="QAT4751" s="696"/>
      <c r="QAU4751" s="693"/>
      <c r="QAV4751" s="696"/>
      <c r="QAW4751" s="693"/>
      <c r="QAX4751" s="696"/>
      <c r="QAY4751" s="693"/>
      <c r="QAZ4751" s="696"/>
      <c r="QBA4751" s="693"/>
      <c r="QBB4751" s="696"/>
      <c r="QBC4751" s="693"/>
      <c r="QBD4751" s="696"/>
      <c r="QBE4751" s="693"/>
      <c r="QBF4751" s="696"/>
      <c r="QBG4751" s="693"/>
      <c r="QBH4751" s="696"/>
      <c r="QBI4751" s="693"/>
      <c r="QBJ4751" s="696"/>
      <c r="QBK4751" s="693"/>
      <c r="QBL4751" s="696"/>
      <c r="QBM4751" s="693"/>
      <c r="QBN4751" s="696"/>
      <c r="QBO4751" s="693"/>
      <c r="QBP4751" s="696"/>
      <c r="QBQ4751" s="693"/>
      <c r="QBR4751" s="696"/>
      <c r="QBS4751" s="693"/>
      <c r="QBT4751" s="696"/>
      <c r="QBU4751" s="693"/>
      <c r="QBV4751" s="696"/>
      <c r="QBW4751" s="693"/>
      <c r="QBX4751" s="696"/>
      <c r="QBY4751" s="693"/>
      <c r="QBZ4751" s="696"/>
      <c r="QCA4751" s="693"/>
      <c r="QCB4751" s="696"/>
      <c r="QCC4751" s="693"/>
      <c r="QCD4751" s="696"/>
      <c r="QCE4751" s="693"/>
      <c r="QCF4751" s="696"/>
      <c r="QCG4751" s="693"/>
      <c r="QCH4751" s="696"/>
      <c r="QCI4751" s="693"/>
      <c r="QCJ4751" s="696"/>
      <c r="QCK4751" s="693"/>
      <c r="QCL4751" s="696"/>
      <c r="QCM4751" s="693"/>
      <c r="QCN4751" s="696"/>
      <c r="QCO4751" s="693"/>
      <c r="QCP4751" s="696"/>
      <c r="QCQ4751" s="693"/>
      <c r="QCR4751" s="696"/>
      <c r="QCS4751" s="693"/>
      <c r="QCT4751" s="696"/>
      <c r="QCU4751" s="693"/>
      <c r="QCV4751" s="696"/>
      <c r="QCW4751" s="693"/>
      <c r="QCX4751" s="696"/>
      <c r="QCY4751" s="693"/>
      <c r="QCZ4751" s="696"/>
      <c r="QDA4751" s="693"/>
      <c r="QDB4751" s="696"/>
      <c r="QDC4751" s="693"/>
      <c r="QDD4751" s="696"/>
      <c r="QDE4751" s="693"/>
      <c r="QDF4751" s="696"/>
      <c r="QDG4751" s="693"/>
      <c r="QDH4751" s="696"/>
      <c r="QDI4751" s="693"/>
      <c r="QDJ4751" s="696"/>
      <c r="QDK4751" s="693"/>
      <c r="QDL4751" s="696"/>
      <c r="QDM4751" s="693"/>
      <c r="QDN4751" s="696"/>
      <c r="QDO4751" s="693"/>
      <c r="QDP4751" s="696"/>
      <c r="QDQ4751" s="693"/>
      <c r="QDR4751" s="696"/>
      <c r="QDS4751" s="693"/>
      <c r="QDT4751" s="696"/>
      <c r="QDU4751" s="693"/>
      <c r="QDV4751" s="696"/>
      <c r="QDW4751" s="693"/>
      <c r="QDX4751" s="696"/>
      <c r="QDY4751" s="693"/>
      <c r="QDZ4751" s="696"/>
      <c r="QEA4751" s="693"/>
      <c r="QEB4751" s="696"/>
      <c r="QEC4751" s="693"/>
      <c r="QED4751" s="696"/>
      <c r="QEE4751" s="693"/>
      <c r="QEF4751" s="696"/>
      <c r="QEG4751" s="693"/>
      <c r="QEH4751" s="696"/>
      <c r="QEI4751" s="693"/>
      <c r="QEJ4751" s="696"/>
      <c r="QEK4751" s="693"/>
      <c r="QEL4751" s="696"/>
      <c r="QEM4751" s="693"/>
      <c r="QEN4751" s="696"/>
      <c r="QEO4751" s="693"/>
      <c r="QEP4751" s="696"/>
      <c r="QEQ4751" s="693"/>
      <c r="QER4751" s="696"/>
      <c r="QES4751" s="693"/>
      <c r="QET4751" s="696"/>
      <c r="QEU4751" s="693"/>
      <c r="QEV4751" s="696"/>
      <c r="QEW4751" s="693"/>
      <c r="QEX4751" s="696"/>
      <c r="QEY4751" s="693"/>
      <c r="QEZ4751" s="696"/>
      <c r="QFA4751" s="693"/>
      <c r="QFB4751" s="696"/>
      <c r="QFC4751" s="693"/>
      <c r="QFD4751" s="696"/>
      <c r="QFE4751" s="693"/>
      <c r="QFF4751" s="696"/>
      <c r="QFG4751" s="693"/>
      <c r="QFH4751" s="696"/>
      <c r="QFI4751" s="693"/>
      <c r="QFJ4751" s="696"/>
      <c r="QFK4751" s="693"/>
      <c r="QFL4751" s="696"/>
      <c r="QFM4751" s="693"/>
      <c r="QFN4751" s="696"/>
      <c r="QFO4751" s="693"/>
      <c r="QFP4751" s="696"/>
      <c r="QFQ4751" s="693"/>
      <c r="QFR4751" s="696"/>
      <c r="QFS4751" s="693"/>
      <c r="QFT4751" s="696"/>
      <c r="QFU4751" s="693"/>
      <c r="QFV4751" s="696"/>
      <c r="QFW4751" s="693"/>
      <c r="QFX4751" s="696"/>
      <c r="QFY4751" s="693"/>
      <c r="QFZ4751" s="696"/>
      <c r="QGA4751" s="693"/>
      <c r="QGB4751" s="696"/>
      <c r="QGC4751" s="693"/>
      <c r="QGD4751" s="696"/>
      <c r="QGE4751" s="693"/>
      <c r="QGF4751" s="696"/>
      <c r="QGG4751" s="693"/>
      <c r="QGH4751" s="696"/>
      <c r="QGI4751" s="693"/>
      <c r="QGJ4751" s="696"/>
      <c r="QGK4751" s="693"/>
      <c r="QGL4751" s="696"/>
      <c r="QGM4751" s="693"/>
      <c r="QGN4751" s="696"/>
      <c r="QGO4751" s="693"/>
      <c r="QGP4751" s="696"/>
      <c r="QGQ4751" s="693"/>
      <c r="QGR4751" s="696"/>
      <c r="QGS4751" s="693"/>
      <c r="QGT4751" s="696"/>
      <c r="QGU4751" s="693"/>
      <c r="QGV4751" s="696"/>
      <c r="QGW4751" s="693"/>
      <c r="QGX4751" s="696"/>
      <c r="QGY4751" s="693"/>
      <c r="QGZ4751" s="696"/>
      <c r="QHA4751" s="693"/>
      <c r="QHB4751" s="696"/>
      <c r="QHC4751" s="693"/>
      <c r="QHD4751" s="696"/>
      <c r="QHE4751" s="693"/>
      <c r="QHF4751" s="696"/>
      <c r="QHG4751" s="693"/>
      <c r="QHH4751" s="696"/>
      <c r="QHI4751" s="693"/>
      <c r="QHJ4751" s="696"/>
      <c r="QHK4751" s="693"/>
      <c r="QHL4751" s="696"/>
      <c r="QHM4751" s="693"/>
      <c r="QHN4751" s="696"/>
      <c r="QHO4751" s="693"/>
      <c r="QHP4751" s="696"/>
      <c r="QHQ4751" s="693"/>
      <c r="QHR4751" s="696"/>
      <c r="QHS4751" s="693"/>
      <c r="QHT4751" s="696"/>
      <c r="QHU4751" s="693"/>
      <c r="QHV4751" s="696"/>
      <c r="QHW4751" s="693"/>
      <c r="QHX4751" s="696"/>
      <c r="QHY4751" s="693"/>
      <c r="QHZ4751" s="696"/>
      <c r="QIA4751" s="693"/>
      <c r="QIB4751" s="696"/>
      <c r="QIC4751" s="693"/>
      <c r="QID4751" s="696"/>
      <c r="QIE4751" s="693"/>
      <c r="QIF4751" s="696"/>
      <c r="QIG4751" s="693"/>
      <c r="QIH4751" s="696"/>
      <c r="QII4751" s="693"/>
      <c r="QIJ4751" s="696"/>
      <c r="QIK4751" s="693"/>
      <c r="QIL4751" s="696"/>
      <c r="QIM4751" s="693"/>
      <c r="QIN4751" s="696"/>
      <c r="QIO4751" s="693"/>
      <c r="QIP4751" s="696"/>
      <c r="QIQ4751" s="693"/>
      <c r="QIR4751" s="696"/>
      <c r="QIS4751" s="693"/>
      <c r="QIT4751" s="696"/>
      <c r="QIU4751" s="693"/>
      <c r="QIV4751" s="696"/>
      <c r="QIW4751" s="693"/>
      <c r="QIX4751" s="696"/>
      <c r="QIY4751" s="693"/>
      <c r="QIZ4751" s="696"/>
      <c r="QJA4751" s="693"/>
      <c r="QJB4751" s="696"/>
      <c r="QJC4751" s="693"/>
      <c r="QJD4751" s="696"/>
      <c r="QJE4751" s="693"/>
      <c r="QJF4751" s="696"/>
      <c r="QJG4751" s="693"/>
      <c r="QJH4751" s="696"/>
      <c r="QJI4751" s="693"/>
      <c r="QJJ4751" s="696"/>
      <c r="QJK4751" s="693"/>
      <c r="QJL4751" s="696"/>
      <c r="QJM4751" s="693"/>
      <c r="QJN4751" s="696"/>
      <c r="QJO4751" s="693"/>
      <c r="QJP4751" s="696"/>
      <c r="QJQ4751" s="693"/>
      <c r="QJR4751" s="696"/>
      <c r="QJS4751" s="693"/>
      <c r="QJT4751" s="696"/>
      <c r="QJU4751" s="693"/>
      <c r="QJV4751" s="696"/>
      <c r="QJW4751" s="693"/>
      <c r="QJX4751" s="696"/>
      <c r="QJY4751" s="693"/>
      <c r="QJZ4751" s="696"/>
      <c r="QKA4751" s="693"/>
      <c r="QKB4751" s="696"/>
      <c r="QKC4751" s="693"/>
      <c r="QKD4751" s="696"/>
      <c r="QKE4751" s="693"/>
      <c r="QKF4751" s="696"/>
      <c r="QKG4751" s="693"/>
      <c r="QKH4751" s="696"/>
      <c r="QKI4751" s="693"/>
      <c r="QKJ4751" s="696"/>
      <c r="QKK4751" s="693"/>
      <c r="QKL4751" s="696"/>
      <c r="QKM4751" s="693"/>
      <c r="QKN4751" s="696"/>
      <c r="QKO4751" s="693"/>
      <c r="QKP4751" s="696"/>
      <c r="QKQ4751" s="693"/>
      <c r="QKR4751" s="696"/>
      <c r="QKS4751" s="693"/>
      <c r="QKT4751" s="696"/>
      <c r="QKU4751" s="693"/>
      <c r="QKV4751" s="696"/>
      <c r="QKW4751" s="693"/>
      <c r="QKX4751" s="696"/>
      <c r="QKY4751" s="693"/>
      <c r="QKZ4751" s="696"/>
      <c r="QLA4751" s="693"/>
      <c r="QLB4751" s="696"/>
      <c r="QLC4751" s="693"/>
      <c r="QLD4751" s="696"/>
      <c r="QLE4751" s="693"/>
      <c r="QLF4751" s="696"/>
      <c r="QLG4751" s="693"/>
      <c r="QLH4751" s="696"/>
      <c r="QLI4751" s="693"/>
      <c r="QLJ4751" s="696"/>
      <c r="QLK4751" s="693"/>
      <c r="QLL4751" s="696"/>
      <c r="QLM4751" s="693"/>
      <c r="QLN4751" s="696"/>
      <c r="QLO4751" s="693"/>
      <c r="QLP4751" s="696"/>
      <c r="QLQ4751" s="693"/>
      <c r="QLR4751" s="696"/>
      <c r="QLS4751" s="693"/>
      <c r="QLT4751" s="696"/>
      <c r="QLU4751" s="693"/>
      <c r="QLV4751" s="696"/>
      <c r="QLW4751" s="693"/>
      <c r="QLX4751" s="696"/>
      <c r="QLY4751" s="693"/>
      <c r="QLZ4751" s="696"/>
      <c r="QMA4751" s="693"/>
      <c r="QMB4751" s="696"/>
      <c r="QMC4751" s="693"/>
      <c r="QMD4751" s="696"/>
      <c r="QME4751" s="693"/>
      <c r="QMF4751" s="696"/>
      <c r="QMG4751" s="693"/>
      <c r="QMH4751" s="696"/>
      <c r="QMI4751" s="693"/>
      <c r="QMJ4751" s="696"/>
      <c r="QMK4751" s="693"/>
      <c r="QML4751" s="696"/>
      <c r="QMM4751" s="693"/>
      <c r="QMN4751" s="696"/>
      <c r="QMO4751" s="693"/>
      <c r="QMP4751" s="696"/>
      <c r="QMQ4751" s="693"/>
      <c r="QMR4751" s="696"/>
      <c r="QMS4751" s="693"/>
      <c r="QMT4751" s="696"/>
      <c r="QMU4751" s="693"/>
      <c r="QMV4751" s="696"/>
      <c r="QMW4751" s="693"/>
      <c r="QMX4751" s="696"/>
      <c r="QMY4751" s="693"/>
      <c r="QMZ4751" s="696"/>
      <c r="QNA4751" s="693"/>
      <c r="QNB4751" s="696"/>
      <c r="QNC4751" s="693"/>
      <c r="QND4751" s="696"/>
      <c r="QNE4751" s="693"/>
      <c r="QNF4751" s="696"/>
      <c r="QNG4751" s="693"/>
      <c r="QNH4751" s="696"/>
      <c r="QNI4751" s="693"/>
      <c r="QNJ4751" s="696"/>
      <c r="QNK4751" s="693"/>
      <c r="QNL4751" s="696"/>
      <c r="QNM4751" s="693"/>
      <c r="QNN4751" s="696"/>
      <c r="QNO4751" s="693"/>
      <c r="QNP4751" s="696"/>
      <c r="QNQ4751" s="693"/>
      <c r="QNR4751" s="696"/>
      <c r="QNS4751" s="693"/>
      <c r="QNT4751" s="696"/>
      <c r="QNU4751" s="693"/>
      <c r="QNV4751" s="696"/>
      <c r="QNW4751" s="693"/>
      <c r="QNX4751" s="696"/>
      <c r="QNY4751" s="693"/>
      <c r="QNZ4751" s="696"/>
      <c r="QOA4751" s="693"/>
      <c r="QOB4751" s="696"/>
      <c r="QOC4751" s="693"/>
      <c r="QOD4751" s="696"/>
      <c r="QOE4751" s="693"/>
      <c r="QOF4751" s="696"/>
      <c r="QOG4751" s="693"/>
      <c r="QOH4751" s="696"/>
      <c r="QOI4751" s="693"/>
      <c r="QOJ4751" s="696"/>
      <c r="QOK4751" s="693"/>
      <c r="QOL4751" s="696"/>
      <c r="QOM4751" s="693"/>
      <c r="QON4751" s="696"/>
      <c r="QOO4751" s="693"/>
      <c r="QOP4751" s="696"/>
      <c r="QOQ4751" s="693"/>
      <c r="QOR4751" s="696"/>
      <c r="QOS4751" s="693"/>
      <c r="QOT4751" s="696"/>
      <c r="QOU4751" s="693"/>
      <c r="QOV4751" s="696"/>
      <c r="QOW4751" s="693"/>
      <c r="QOX4751" s="696"/>
      <c r="QOY4751" s="693"/>
      <c r="QOZ4751" s="696"/>
      <c r="QPA4751" s="693"/>
      <c r="QPB4751" s="696"/>
      <c r="QPC4751" s="693"/>
      <c r="QPD4751" s="696"/>
      <c r="QPE4751" s="693"/>
      <c r="QPF4751" s="696"/>
      <c r="QPG4751" s="693"/>
      <c r="QPH4751" s="696"/>
      <c r="QPI4751" s="693"/>
      <c r="QPJ4751" s="696"/>
      <c r="QPK4751" s="693"/>
      <c r="QPL4751" s="696"/>
      <c r="QPM4751" s="693"/>
      <c r="QPN4751" s="696"/>
      <c r="QPO4751" s="693"/>
      <c r="QPP4751" s="696"/>
      <c r="QPQ4751" s="693"/>
      <c r="QPR4751" s="696"/>
      <c r="QPS4751" s="693"/>
      <c r="QPT4751" s="696"/>
      <c r="QPU4751" s="693"/>
      <c r="QPV4751" s="696"/>
      <c r="QPW4751" s="693"/>
      <c r="QPX4751" s="696"/>
      <c r="QPY4751" s="693"/>
      <c r="QPZ4751" s="696"/>
      <c r="QQA4751" s="693"/>
      <c r="QQB4751" s="696"/>
      <c r="QQC4751" s="693"/>
      <c r="QQD4751" s="696"/>
      <c r="QQE4751" s="693"/>
      <c r="QQF4751" s="696"/>
      <c r="QQG4751" s="693"/>
      <c r="QQH4751" s="696"/>
      <c r="QQI4751" s="693"/>
      <c r="QQJ4751" s="696"/>
      <c r="QQK4751" s="693"/>
      <c r="QQL4751" s="696"/>
      <c r="QQM4751" s="693"/>
      <c r="QQN4751" s="696"/>
      <c r="QQO4751" s="693"/>
      <c r="QQP4751" s="696"/>
      <c r="QQQ4751" s="693"/>
      <c r="QQR4751" s="696"/>
      <c r="QQS4751" s="693"/>
      <c r="QQT4751" s="696"/>
      <c r="QQU4751" s="693"/>
      <c r="QQV4751" s="696"/>
      <c r="QQW4751" s="693"/>
      <c r="QQX4751" s="696"/>
      <c r="QQY4751" s="693"/>
      <c r="QQZ4751" s="696"/>
      <c r="QRA4751" s="693"/>
      <c r="QRB4751" s="696"/>
      <c r="QRC4751" s="693"/>
      <c r="QRD4751" s="696"/>
      <c r="QRE4751" s="693"/>
      <c r="QRF4751" s="696"/>
      <c r="QRG4751" s="693"/>
      <c r="QRH4751" s="696"/>
      <c r="QRI4751" s="693"/>
      <c r="QRJ4751" s="696"/>
      <c r="QRK4751" s="693"/>
      <c r="QRL4751" s="696"/>
      <c r="QRM4751" s="693"/>
      <c r="QRN4751" s="696"/>
      <c r="QRO4751" s="693"/>
      <c r="QRP4751" s="696"/>
      <c r="QRQ4751" s="693"/>
      <c r="QRR4751" s="696"/>
      <c r="QRS4751" s="693"/>
      <c r="QRT4751" s="696"/>
      <c r="QRU4751" s="693"/>
      <c r="QRV4751" s="696"/>
      <c r="QRW4751" s="693"/>
      <c r="QRX4751" s="696"/>
      <c r="QRY4751" s="693"/>
      <c r="QRZ4751" s="696"/>
      <c r="QSA4751" s="693"/>
      <c r="QSB4751" s="696"/>
      <c r="QSC4751" s="693"/>
      <c r="QSD4751" s="696"/>
      <c r="QSE4751" s="693"/>
      <c r="QSF4751" s="696"/>
      <c r="QSG4751" s="693"/>
      <c r="QSH4751" s="696"/>
      <c r="QSI4751" s="693"/>
      <c r="QSJ4751" s="696"/>
      <c r="QSK4751" s="693"/>
      <c r="QSL4751" s="696"/>
      <c r="QSM4751" s="693"/>
      <c r="QSN4751" s="696"/>
      <c r="QSO4751" s="693"/>
      <c r="QSP4751" s="696"/>
      <c r="QSQ4751" s="693"/>
      <c r="QSR4751" s="696"/>
      <c r="QSS4751" s="693"/>
      <c r="QST4751" s="696"/>
      <c r="QSU4751" s="693"/>
      <c r="QSV4751" s="696"/>
      <c r="QSW4751" s="693"/>
      <c r="QSX4751" s="696"/>
      <c r="QSY4751" s="693"/>
      <c r="QSZ4751" s="696"/>
      <c r="QTA4751" s="693"/>
      <c r="QTB4751" s="696"/>
      <c r="QTC4751" s="693"/>
      <c r="QTD4751" s="696"/>
      <c r="QTE4751" s="693"/>
      <c r="QTF4751" s="696"/>
      <c r="QTG4751" s="693"/>
      <c r="QTH4751" s="696"/>
      <c r="QTI4751" s="693"/>
      <c r="QTJ4751" s="696"/>
      <c r="QTK4751" s="693"/>
      <c r="QTL4751" s="696"/>
      <c r="QTM4751" s="693"/>
      <c r="QTN4751" s="696"/>
      <c r="QTO4751" s="693"/>
      <c r="QTP4751" s="696"/>
      <c r="QTQ4751" s="693"/>
      <c r="QTR4751" s="696"/>
      <c r="QTS4751" s="693"/>
      <c r="QTT4751" s="696"/>
      <c r="QTU4751" s="693"/>
      <c r="QTV4751" s="696"/>
      <c r="QTW4751" s="693"/>
      <c r="QTX4751" s="696"/>
      <c r="QTY4751" s="693"/>
      <c r="QTZ4751" s="696"/>
      <c r="QUA4751" s="693"/>
      <c r="QUB4751" s="696"/>
      <c r="QUC4751" s="693"/>
      <c r="QUD4751" s="696"/>
      <c r="QUE4751" s="693"/>
      <c r="QUF4751" s="696"/>
      <c r="QUG4751" s="693"/>
      <c r="QUH4751" s="696"/>
      <c r="QUI4751" s="693"/>
      <c r="QUJ4751" s="696"/>
      <c r="QUK4751" s="693"/>
      <c r="QUL4751" s="696"/>
      <c r="QUM4751" s="693"/>
      <c r="QUN4751" s="696"/>
      <c r="QUO4751" s="693"/>
      <c r="QUP4751" s="696"/>
      <c r="QUQ4751" s="693"/>
      <c r="QUR4751" s="696"/>
      <c r="QUS4751" s="693"/>
      <c r="QUT4751" s="696"/>
      <c r="QUU4751" s="693"/>
      <c r="QUV4751" s="696"/>
      <c r="QUW4751" s="693"/>
      <c r="QUX4751" s="696"/>
      <c r="QUY4751" s="693"/>
      <c r="QUZ4751" s="696"/>
      <c r="QVA4751" s="693"/>
      <c r="QVB4751" s="696"/>
      <c r="QVC4751" s="693"/>
      <c r="QVD4751" s="696"/>
      <c r="QVE4751" s="693"/>
      <c r="QVF4751" s="696"/>
      <c r="QVG4751" s="693"/>
      <c r="QVH4751" s="696"/>
      <c r="QVI4751" s="693"/>
      <c r="QVJ4751" s="696"/>
      <c r="QVK4751" s="693"/>
      <c r="QVL4751" s="696"/>
      <c r="QVM4751" s="693"/>
      <c r="QVN4751" s="696"/>
      <c r="QVO4751" s="693"/>
      <c r="QVP4751" s="696"/>
      <c r="QVQ4751" s="693"/>
      <c r="QVR4751" s="696"/>
      <c r="QVS4751" s="693"/>
      <c r="QVT4751" s="696"/>
      <c r="QVU4751" s="693"/>
      <c r="QVV4751" s="696"/>
      <c r="QVW4751" s="693"/>
      <c r="QVX4751" s="696"/>
      <c r="QVY4751" s="693"/>
      <c r="QVZ4751" s="696"/>
      <c r="QWA4751" s="693"/>
      <c r="QWB4751" s="696"/>
      <c r="QWC4751" s="693"/>
      <c r="QWD4751" s="696"/>
      <c r="QWE4751" s="693"/>
      <c r="QWF4751" s="696"/>
      <c r="QWG4751" s="693"/>
      <c r="QWH4751" s="696"/>
      <c r="QWI4751" s="693"/>
      <c r="QWJ4751" s="696"/>
      <c r="QWK4751" s="693"/>
      <c r="QWL4751" s="696"/>
      <c r="QWM4751" s="693"/>
      <c r="QWN4751" s="696"/>
      <c r="QWO4751" s="693"/>
      <c r="QWP4751" s="696"/>
      <c r="QWQ4751" s="693"/>
      <c r="QWR4751" s="696"/>
      <c r="QWS4751" s="693"/>
      <c r="QWT4751" s="696"/>
      <c r="QWU4751" s="693"/>
      <c r="QWV4751" s="696"/>
      <c r="QWW4751" s="693"/>
      <c r="QWX4751" s="696"/>
      <c r="QWY4751" s="693"/>
      <c r="QWZ4751" s="696"/>
      <c r="QXA4751" s="693"/>
      <c r="QXB4751" s="696"/>
      <c r="QXC4751" s="693"/>
      <c r="QXD4751" s="696"/>
      <c r="QXE4751" s="693"/>
      <c r="QXF4751" s="696"/>
      <c r="QXG4751" s="693"/>
      <c r="QXH4751" s="696"/>
      <c r="QXI4751" s="693"/>
      <c r="QXJ4751" s="696"/>
      <c r="QXK4751" s="693"/>
      <c r="QXL4751" s="696"/>
      <c r="QXM4751" s="693"/>
      <c r="QXN4751" s="696"/>
      <c r="QXO4751" s="693"/>
      <c r="QXP4751" s="696"/>
      <c r="QXQ4751" s="693"/>
      <c r="QXR4751" s="696"/>
      <c r="QXS4751" s="693"/>
      <c r="QXT4751" s="696"/>
      <c r="QXU4751" s="693"/>
      <c r="QXV4751" s="696"/>
      <c r="QXW4751" s="693"/>
      <c r="QXX4751" s="696"/>
      <c r="QXY4751" s="693"/>
      <c r="QXZ4751" s="696"/>
      <c r="QYA4751" s="693"/>
      <c r="QYB4751" s="696"/>
      <c r="QYC4751" s="693"/>
      <c r="QYD4751" s="696"/>
      <c r="QYE4751" s="693"/>
      <c r="QYF4751" s="696"/>
      <c r="QYG4751" s="693"/>
      <c r="QYH4751" s="696"/>
      <c r="QYI4751" s="693"/>
      <c r="QYJ4751" s="696"/>
      <c r="QYK4751" s="693"/>
      <c r="QYL4751" s="696"/>
      <c r="QYM4751" s="693"/>
      <c r="QYN4751" s="696"/>
      <c r="QYO4751" s="693"/>
      <c r="QYP4751" s="696"/>
      <c r="QYQ4751" s="693"/>
      <c r="QYR4751" s="696"/>
      <c r="QYS4751" s="693"/>
      <c r="QYT4751" s="696"/>
      <c r="QYU4751" s="693"/>
      <c r="QYV4751" s="696"/>
      <c r="QYW4751" s="693"/>
      <c r="QYX4751" s="696"/>
      <c r="QYY4751" s="693"/>
      <c r="QYZ4751" s="696"/>
      <c r="QZA4751" s="693"/>
      <c r="QZB4751" s="696"/>
      <c r="QZC4751" s="693"/>
      <c r="QZD4751" s="696"/>
      <c r="QZE4751" s="693"/>
      <c r="QZF4751" s="696"/>
      <c r="QZG4751" s="693"/>
      <c r="QZH4751" s="696"/>
      <c r="QZI4751" s="693"/>
      <c r="QZJ4751" s="696"/>
      <c r="QZK4751" s="693"/>
      <c r="QZL4751" s="696"/>
      <c r="QZM4751" s="693"/>
      <c r="QZN4751" s="696"/>
      <c r="QZO4751" s="693"/>
      <c r="QZP4751" s="696"/>
      <c r="QZQ4751" s="693"/>
      <c r="QZR4751" s="696"/>
      <c r="QZS4751" s="693"/>
      <c r="QZT4751" s="696"/>
      <c r="QZU4751" s="693"/>
      <c r="QZV4751" s="696"/>
      <c r="QZW4751" s="693"/>
      <c r="QZX4751" s="696"/>
      <c r="QZY4751" s="693"/>
      <c r="QZZ4751" s="696"/>
      <c r="RAA4751" s="693"/>
      <c r="RAB4751" s="696"/>
      <c r="RAC4751" s="693"/>
      <c r="RAD4751" s="696"/>
      <c r="RAE4751" s="693"/>
      <c r="RAF4751" s="696"/>
      <c r="RAG4751" s="693"/>
      <c r="RAH4751" s="696"/>
      <c r="RAI4751" s="693"/>
      <c r="RAJ4751" s="696"/>
      <c r="RAK4751" s="693"/>
      <c r="RAL4751" s="696"/>
      <c r="RAM4751" s="693"/>
      <c r="RAN4751" s="696"/>
      <c r="RAO4751" s="693"/>
      <c r="RAP4751" s="696"/>
      <c r="RAQ4751" s="693"/>
      <c r="RAR4751" s="696"/>
      <c r="RAS4751" s="693"/>
      <c r="RAT4751" s="696"/>
      <c r="RAU4751" s="693"/>
      <c r="RAV4751" s="696"/>
      <c r="RAW4751" s="693"/>
      <c r="RAX4751" s="696"/>
      <c r="RAY4751" s="693"/>
      <c r="RAZ4751" s="696"/>
      <c r="RBA4751" s="693"/>
      <c r="RBB4751" s="696"/>
      <c r="RBC4751" s="693"/>
      <c r="RBD4751" s="696"/>
      <c r="RBE4751" s="693"/>
      <c r="RBF4751" s="696"/>
      <c r="RBG4751" s="693"/>
      <c r="RBH4751" s="696"/>
      <c r="RBI4751" s="693"/>
      <c r="RBJ4751" s="696"/>
      <c r="RBK4751" s="693"/>
      <c r="RBL4751" s="696"/>
      <c r="RBM4751" s="693"/>
      <c r="RBN4751" s="696"/>
      <c r="RBO4751" s="693"/>
      <c r="RBP4751" s="696"/>
      <c r="RBQ4751" s="693"/>
      <c r="RBR4751" s="696"/>
      <c r="RBS4751" s="693"/>
      <c r="RBT4751" s="696"/>
      <c r="RBU4751" s="693"/>
      <c r="RBV4751" s="696"/>
      <c r="RBW4751" s="693"/>
      <c r="RBX4751" s="696"/>
      <c r="RBY4751" s="693"/>
      <c r="RBZ4751" s="696"/>
      <c r="RCA4751" s="693"/>
      <c r="RCB4751" s="696"/>
      <c r="RCC4751" s="693"/>
      <c r="RCD4751" s="696"/>
      <c r="RCE4751" s="693"/>
      <c r="RCF4751" s="696"/>
      <c r="RCG4751" s="693"/>
      <c r="RCH4751" s="696"/>
      <c r="RCI4751" s="693"/>
      <c r="RCJ4751" s="696"/>
      <c r="RCK4751" s="693"/>
      <c r="RCL4751" s="696"/>
      <c r="RCM4751" s="693"/>
      <c r="RCN4751" s="696"/>
      <c r="RCO4751" s="693"/>
      <c r="RCP4751" s="696"/>
      <c r="RCQ4751" s="693"/>
      <c r="RCR4751" s="696"/>
      <c r="RCS4751" s="693"/>
      <c r="RCT4751" s="696"/>
      <c r="RCU4751" s="693"/>
      <c r="RCV4751" s="696"/>
      <c r="RCW4751" s="693"/>
      <c r="RCX4751" s="696"/>
      <c r="RCY4751" s="693"/>
      <c r="RCZ4751" s="696"/>
      <c r="RDA4751" s="693"/>
      <c r="RDB4751" s="696"/>
      <c r="RDC4751" s="693"/>
      <c r="RDD4751" s="696"/>
      <c r="RDE4751" s="693"/>
      <c r="RDF4751" s="696"/>
      <c r="RDG4751" s="693"/>
      <c r="RDH4751" s="696"/>
      <c r="RDI4751" s="693"/>
      <c r="RDJ4751" s="696"/>
      <c r="RDK4751" s="693"/>
      <c r="RDL4751" s="696"/>
      <c r="RDM4751" s="693"/>
      <c r="RDN4751" s="696"/>
      <c r="RDO4751" s="693"/>
      <c r="RDP4751" s="696"/>
      <c r="RDQ4751" s="693"/>
      <c r="RDR4751" s="696"/>
      <c r="RDS4751" s="693"/>
      <c r="RDT4751" s="696"/>
      <c r="RDU4751" s="693"/>
      <c r="RDV4751" s="696"/>
      <c r="RDW4751" s="693"/>
      <c r="RDX4751" s="696"/>
      <c r="RDY4751" s="693"/>
      <c r="RDZ4751" s="696"/>
      <c r="REA4751" s="693"/>
      <c r="REB4751" s="696"/>
      <c r="REC4751" s="693"/>
      <c r="RED4751" s="696"/>
      <c r="REE4751" s="693"/>
      <c r="REF4751" s="696"/>
      <c r="REG4751" s="693"/>
      <c r="REH4751" s="696"/>
      <c r="REI4751" s="693"/>
      <c r="REJ4751" s="696"/>
      <c r="REK4751" s="693"/>
      <c r="REL4751" s="696"/>
      <c r="REM4751" s="693"/>
      <c r="REN4751" s="696"/>
      <c r="REO4751" s="693"/>
      <c r="REP4751" s="696"/>
      <c r="REQ4751" s="693"/>
      <c r="RER4751" s="696"/>
      <c r="RES4751" s="693"/>
      <c r="RET4751" s="696"/>
      <c r="REU4751" s="693"/>
      <c r="REV4751" s="696"/>
      <c r="REW4751" s="693"/>
      <c r="REX4751" s="696"/>
      <c r="REY4751" s="693"/>
      <c r="REZ4751" s="696"/>
      <c r="RFA4751" s="693"/>
      <c r="RFB4751" s="696"/>
      <c r="RFC4751" s="693"/>
      <c r="RFD4751" s="696"/>
      <c r="RFE4751" s="693"/>
      <c r="RFF4751" s="696"/>
      <c r="RFG4751" s="693"/>
      <c r="RFH4751" s="696"/>
      <c r="RFI4751" s="693"/>
      <c r="RFJ4751" s="696"/>
      <c r="RFK4751" s="693"/>
      <c r="RFL4751" s="696"/>
      <c r="RFM4751" s="693"/>
      <c r="RFN4751" s="696"/>
      <c r="RFO4751" s="693"/>
      <c r="RFP4751" s="696"/>
      <c r="RFQ4751" s="693"/>
      <c r="RFR4751" s="696"/>
      <c r="RFS4751" s="693"/>
      <c r="RFT4751" s="696"/>
      <c r="RFU4751" s="693"/>
      <c r="RFV4751" s="696"/>
      <c r="RFW4751" s="693"/>
      <c r="RFX4751" s="696"/>
      <c r="RFY4751" s="693"/>
      <c r="RFZ4751" s="696"/>
      <c r="RGA4751" s="693"/>
      <c r="RGB4751" s="696"/>
      <c r="RGC4751" s="693"/>
      <c r="RGD4751" s="696"/>
      <c r="RGE4751" s="693"/>
      <c r="RGF4751" s="696"/>
      <c r="RGG4751" s="693"/>
      <c r="RGH4751" s="696"/>
      <c r="RGI4751" s="693"/>
      <c r="RGJ4751" s="696"/>
      <c r="RGK4751" s="693"/>
      <c r="RGL4751" s="696"/>
      <c r="RGM4751" s="693"/>
      <c r="RGN4751" s="696"/>
      <c r="RGO4751" s="693"/>
      <c r="RGP4751" s="696"/>
      <c r="RGQ4751" s="693"/>
      <c r="RGR4751" s="696"/>
      <c r="RGS4751" s="693"/>
      <c r="RGT4751" s="696"/>
      <c r="RGU4751" s="693"/>
      <c r="RGV4751" s="696"/>
      <c r="RGW4751" s="693"/>
      <c r="RGX4751" s="696"/>
      <c r="RGY4751" s="693"/>
      <c r="RGZ4751" s="696"/>
      <c r="RHA4751" s="693"/>
      <c r="RHB4751" s="696"/>
      <c r="RHC4751" s="693"/>
      <c r="RHD4751" s="696"/>
      <c r="RHE4751" s="693"/>
      <c r="RHF4751" s="696"/>
      <c r="RHG4751" s="693"/>
      <c r="RHH4751" s="696"/>
      <c r="RHI4751" s="693"/>
      <c r="RHJ4751" s="696"/>
      <c r="RHK4751" s="693"/>
      <c r="RHL4751" s="696"/>
      <c r="RHM4751" s="693"/>
      <c r="RHN4751" s="696"/>
      <c r="RHO4751" s="693"/>
      <c r="RHP4751" s="696"/>
      <c r="RHQ4751" s="693"/>
      <c r="RHR4751" s="696"/>
      <c r="RHS4751" s="693"/>
      <c r="RHT4751" s="696"/>
      <c r="RHU4751" s="693"/>
      <c r="RHV4751" s="696"/>
      <c r="RHW4751" s="693"/>
      <c r="RHX4751" s="696"/>
      <c r="RHY4751" s="693"/>
      <c r="RHZ4751" s="696"/>
      <c r="RIA4751" s="693"/>
      <c r="RIB4751" s="696"/>
      <c r="RIC4751" s="693"/>
      <c r="RID4751" s="696"/>
      <c r="RIE4751" s="693"/>
      <c r="RIF4751" s="696"/>
      <c r="RIG4751" s="693"/>
      <c r="RIH4751" s="696"/>
      <c r="RII4751" s="693"/>
      <c r="RIJ4751" s="696"/>
      <c r="RIK4751" s="693"/>
      <c r="RIL4751" s="696"/>
      <c r="RIM4751" s="693"/>
      <c r="RIN4751" s="696"/>
      <c r="RIO4751" s="693"/>
      <c r="RIP4751" s="696"/>
      <c r="RIQ4751" s="693"/>
      <c r="RIR4751" s="696"/>
      <c r="RIS4751" s="693"/>
      <c r="RIT4751" s="696"/>
      <c r="RIU4751" s="693"/>
      <c r="RIV4751" s="696"/>
      <c r="RIW4751" s="693"/>
      <c r="RIX4751" s="696"/>
      <c r="RIY4751" s="693"/>
      <c r="RIZ4751" s="696"/>
      <c r="RJA4751" s="693"/>
      <c r="RJB4751" s="696"/>
      <c r="RJC4751" s="693"/>
      <c r="RJD4751" s="696"/>
      <c r="RJE4751" s="693"/>
      <c r="RJF4751" s="696"/>
      <c r="RJG4751" s="693"/>
      <c r="RJH4751" s="696"/>
      <c r="RJI4751" s="693"/>
      <c r="RJJ4751" s="696"/>
      <c r="RJK4751" s="693"/>
      <c r="RJL4751" s="696"/>
      <c r="RJM4751" s="693"/>
      <c r="RJN4751" s="696"/>
      <c r="RJO4751" s="693"/>
      <c r="RJP4751" s="696"/>
      <c r="RJQ4751" s="693"/>
      <c r="RJR4751" s="696"/>
      <c r="RJS4751" s="693"/>
      <c r="RJT4751" s="696"/>
      <c r="RJU4751" s="693"/>
      <c r="RJV4751" s="696"/>
      <c r="RJW4751" s="693"/>
      <c r="RJX4751" s="696"/>
      <c r="RJY4751" s="693"/>
      <c r="RJZ4751" s="696"/>
      <c r="RKA4751" s="693"/>
      <c r="RKB4751" s="696"/>
      <c r="RKC4751" s="693"/>
      <c r="RKD4751" s="696"/>
      <c r="RKE4751" s="693"/>
      <c r="RKF4751" s="696"/>
      <c r="RKG4751" s="693"/>
      <c r="RKH4751" s="696"/>
      <c r="RKI4751" s="693"/>
      <c r="RKJ4751" s="696"/>
      <c r="RKK4751" s="693"/>
      <c r="RKL4751" s="696"/>
      <c r="RKM4751" s="693"/>
      <c r="RKN4751" s="696"/>
      <c r="RKO4751" s="693"/>
      <c r="RKP4751" s="696"/>
      <c r="RKQ4751" s="693"/>
      <c r="RKR4751" s="696"/>
      <c r="RKS4751" s="693"/>
      <c r="RKT4751" s="696"/>
      <c r="RKU4751" s="693"/>
      <c r="RKV4751" s="696"/>
      <c r="RKW4751" s="693"/>
      <c r="RKX4751" s="696"/>
      <c r="RKY4751" s="693"/>
      <c r="RKZ4751" s="696"/>
      <c r="RLA4751" s="693"/>
      <c r="RLB4751" s="696"/>
      <c r="RLC4751" s="693"/>
      <c r="RLD4751" s="696"/>
      <c r="RLE4751" s="693"/>
      <c r="RLF4751" s="696"/>
      <c r="RLG4751" s="693"/>
      <c r="RLH4751" s="696"/>
      <c r="RLI4751" s="693"/>
      <c r="RLJ4751" s="696"/>
      <c r="RLK4751" s="693"/>
      <c r="RLL4751" s="696"/>
      <c r="RLM4751" s="693"/>
      <c r="RLN4751" s="696"/>
      <c r="RLO4751" s="693"/>
      <c r="RLP4751" s="696"/>
      <c r="RLQ4751" s="693"/>
      <c r="RLR4751" s="696"/>
      <c r="RLS4751" s="693"/>
      <c r="RLT4751" s="696"/>
      <c r="RLU4751" s="693"/>
      <c r="RLV4751" s="696"/>
      <c r="RLW4751" s="693"/>
      <c r="RLX4751" s="696"/>
      <c r="RLY4751" s="693"/>
      <c r="RLZ4751" s="696"/>
      <c r="RMA4751" s="693"/>
      <c r="RMB4751" s="696"/>
      <c r="RMC4751" s="693"/>
      <c r="RMD4751" s="696"/>
      <c r="RME4751" s="693"/>
      <c r="RMF4751" s="696"/>
      <c r="RMG4751" s="693"/>
      <c r="RMH4751" s="696"/>
      <c r="RMI4751" s="693"/>
      <c r="RMJ4751" s="696"/>
      <c r="RMK4751" s="693"/>
      <c r="RML4751" s="696"/>
      <c r="RMM4751" s="693"/>
      <c r="RMN4751" s="696"/>
      <c r="RMO4751" s="693"/>
      <c r="RMP4751" s="696"/>
      <c r="RMQ4751" s="693"/>
      <c r="RMR4751" s="696"/>
      <c r="RMS4751" s="693"/>
      <c r="RMT4751" s="696"/>
      <c r="RMU4751" s="693"/>
      <c r="RMV4751" s="696"/>
      <c r="RMW4751" s="693"/>
      <c r="RMX4751" s="696"/>
      <c r="RMY4751" s="693"/>
      <c r="RMZ4751" s="696"/>
      <c r="RNA4751" s="693"/>
      <c r="RNB4751" s="696"/>
      <c r="RNC4751" s="693"/>
      <c r="RND4751" s="696"/>
      <c r="RNE4751" s="693"/>
      <c r="RNF4751" s="696"/>
      <c r="RNG4751" s="693"/>
      <c r="RNH4751" s="696"/>
      <c r="RNI4751" s="693"/>
      <c r="RNJ4751" s="696"/>
      <c r="RNK4751" s="693"/>
      <c r="RNL4751" s="696"/>
      <c r="RNM4751" s="693"/>
      <c r="RNN4751" s="696"/>
      <c r="RNO4751" s="693"/>
      <c r="RNP4751" s="696"/>
      <c r="RNQ4751" s="693"/>
      <c r="RNR4751" s="696"/>
      <c r="RNS4751" s="693"/>
      <c r="RNT4751" s="696"/>
      <c r="RNU4751" s="693"/>
      <c r="RNV4751" s="696"/>
      <c r="RNW4751" s="693"/>
      <c r="RNX4751" s="696"/>
      <c r="RNY4751" s="693"/>
      <c r="RNZ4751" s="696"/>
      <c r="ROA4751" s="693"/>
      <c r="ROB4751" s="696"/>
      <c r="ROC4751" s="693"/>
      <c r="ROD4751" s="696"/>
      <c r="ROE4751" s="693"/>
      <c r="ROF4751" s="696"/>
      <c r="ROG4751" s="693"/>
      <c r="ROH4751" s="696"/>
      <c r="ROI4751" s="693"/>
      <c r="ROJ4751" s="696"/>
      <c r="ROK4751" s="693"/>
      <c r="ROL4751" s="696"/>
      <c r="ROM4751" s="693"/>
      <c r="RON4751" s="696"/>
      <c r="ROO4751" s="693"/>
      <c r="ROP4751" s="696"/>
      <c r="ROQ4751" s="693"/>
      <c r="ROR4751" s="696"/>
      <c r="ROS4751" s="693"/>
      <c r="ROT4751" s="696"/>
      <c r="ROU4751" s="693"/>
      <c r="ROV4751" s="696"/>
      <c r="ROW4751" s="693"/>
      <c r="ROX4751" s="696"/>
      <c r="ROY4751" s="693"/>
      <c r="ROZ4751" s="696"/>
      <c r="RPA4751" s="693"/>
      <c r="RPB4751" s="696"/>
      <c r="RPC4751" s="693"/>
      <c r="RPD4751" s="696"/>
      <c r="RPE4751" s="693"/>
      <c r="RPF4751" s="696"/>
      <c r="RPG4751" s="693"/>
      <c r="RPH4751" s="696"/>
      <c r="RPI4751" s="693"/>
      <c r="RPJ4751" s="696"/>
      <c r="RPK4751" s="693"/>
      <c r="RPL4751" s="696"/>
      <c r="RPM4751" s="693"/>
      <c r="RPN4751" s="696"/>
      <c r="RPO4751" s="693"/>
      <c r="RPP4751" s="696"/>
      <c r="RPQ4751" s="693"/>
      <c r="RPR4751" s="696"/>
      <c r="RPS4751" s="693"/>
      <c r="RPT4751" s="696"/>
      <c r="RPU4751" s="693"/>
      <c r="RPV4751" s="696"/>
      <c r="RPW4751" s="693"/>
      <c r="RPX4751" s="696"/>
      <c r="RPY4751" s="693"/>
      <c r="RPZ4751" s="696"/>
      <c r="RQA4751" s="693"/>
      <c r="RQB4751" s="696"/>
      <c r="RQC4751" s="693"/>
      <c r="RQD4751" s="696"/>
      <c r="RQE4751" s="693"/>
      <c r="RQF4751" s="696"/>
      <c r="RQG4751" s="693"/>
      <c r="RQH4751" s="696"/>
      <c r="RQI4751" s="693"/>
      <c r="RQJ4751" s="696"/>
      <c r="RQK4751" s="693"/>
      <c r="RQL4751" s="696"/>
      <c r="RQM4751" s="693"/>
      <c r="RQN4751" s="696"/>
      <c r="RQO4751" s="693"/>
      <c r="RQP4751" s="696"/>
      <c r="RQQ4751" s="693"/>
      <c r="RQR4751" s="696"/>
      <c r="RQS4751" s="693"/>
      <c r="RQT4751" s="696"/>
      <c r="RQU4751" s="693"/>
      <c r="RQV4751" s="696"/>
      <c r="RQW4751" s="693"/>
      <c r="RQX4751" s="696"/>
      <c r="RQY4751" s="693"/>
      <c r="RQZ4751" s="696"/>
      <c r="RRA4751" s="693"/>
      <c r="RRB4751" s="696"/>
      <c r="RRC4751" s="693"/>
      <c r="RRD4751" s="696"/>
      <c r="RRE4751" s="693"/>
      <c r="RRF4751" s="696"/>
      <c r="RRG4751" s="693"/>
      <c r="RRH4751" s="696"/>
      <c r="RRI4751" s="693"/>
      <c r="RRJ4751" s="696"/>
      <c r="RRK4751" s="693"/>
      <c r="RRL4751" s="696"/>
      <c r="RRM4751" s="693"/>
      <c r="RRN4751" s="696"/>
      <c r="RRO4751" s="693"/>
      <c r="RRP4751" s="696"/>
      <c r="RRQ4751" s="693"/>
      <c r="RRR4751" s="696"/>
      <c r="RRS4751" s="693"/>
      <c r="RRT4751" s="696"/>
      <c r="RRU4751" s="693"/>
      <c r="RRV4751" s="696"/>
      <c r="RRW4751" s="693"/>
      <c r="RRX4751" s="696"/>
      <c r="RRY4751" s="693"/>
      <c r="RRZ4751" s="696"/>
      <c r="RSA4751" s="693"/>
      <c r="RSB4751" s="696"/>
      <c r="RSC4751" s="693"/>
      <c r="RSD4751" s="696"/>
      <c r="RSE4751" s="693"/>
      <c r="RSF4751" s="696"/>
      <c r="RSG4751" s="693"/>
      <c r="RSH4751" s="696"/>
      <c r="RSI4751" s="693"/>
      <c r="RSJ4751" s="696"/>
      <c r="RSK4751" s="693"/>
      <c r="RSL4751" s="696"/>
      <c r="RSM4751" s="693"/>
      <c r="RSN4751" s="696"/>
      <c r="RSO4751" s="693"/>
      <c r="RSP4751" s="696"/>
      <c r="RSQ4751" s="693"/>
      <c r="RSR4751" s="696"/>
      <c r="RSS4751" s="693"/>
      <c r="RST4751" s="696"/>
      <c r="RSU4751" s="693"/>
      <c r="RSV4751" s="696"/>
      <c r="RSW4751" s="693"/>
      <c r="RSX4751" s="696"/>
      <c r="RSY4751" s="693"/>
      <c r="RSZ4751" s="696"/>
      <c r="RTA4751" s="693"/>
      <c r="RTB4751" s="696"/>
      <c r="RTC4751" s="693"/>
      <c r="RTD4751" s="696"/>
      <c r="RTE4751" s="693"/>
      <c r="RTF4751" s="696"/>
      <c r="RTG4751" s="693"/>
      <c r="RTH4751" s="696"/>
      <c r="RTI4751" s="693"/>
      <c r="RTJ4751" s="696"/>
      <c r="RTK4751" s="693"/>
      <c r="RTL4751" s="696"/>
      <c r="RTM4751" s="693"/>
      <c r="RTN4751" s="696"/>
      <c r="RTO4751" s="693"/>
      <c r="RTP4751" s="696"/>
      <c r="RTQ4751" s="693"/>
      <c r="RTR4751" s="696"/>
      <c r="RTS4751" s="693"/>
      <c r="RTT4751" s="696"/>
      <c r="RTU4751" s="693"/>
      <c r="RTV4751" s="696"/>
      <c r="RTW4751" s="693"/>
      <c r="RTX4751" s="696"/>
      <c r="RTY4751" s="693"/>
      <c r="RTZ4751" s="696"/>
      <c r="RUA4751" s="693"/>
      <c r="RUB4751" s="696"/>
      <c r="RUC4751" s="693"/>
      <c r="RUD4751" s="696"/>
      <c r="RUE4751" s="693"/>
      <c r="RUF4751" s="696"/>
      <c r="RUG4751" s="693"/>
      <c r="RUH4751" s="696"/>
      <c r="RUI4751" s="693"/>
      <c r="RUJ4751" s="696"/>
      <c r="RUK4751" s="693"/>
      <c r="RUL4751" s="696"/>
      <c r="RUM4751" s="693"/>
      <c r="RUN4751" s="696"/>
      <c r="RUO4751" s="693"/>
      <c r="RUP4751" s="696"/>
      <c r="RUQ4751" s="693"/>
      <c r="RUR4751" s="696"/>
      <c r="RUS4751" s="693"/>
      <c r="RUT4751" s="696"/>
      <c r="RUU4751" s="693"/>
      <c r="RUV4751" s="696"/>
      <c r="RUW4751" s="693"/>
      <c r="RUX4751" s="696"/>
      <c r="RUY4751" s="693"/>
      <c r="RUZ4751" s="696"/>
      <c r="RVA4751" s="693"/>
      <c r="RVB4751" s="696"/>
      <c r="RVC4751" s="693"/>
      <c r="RVD4751" s="696"/>
      <c r="RVE4751" s="693"/>
      <c r="RVF4751" s="696"/>
      <c r="RVG4751" s="693"/>
      <c r="RVH4751" s="696"/>
      <c r="RVI4751" s="693"/>
      <c r="RVJ4751" s="696"/>
      <c r="RVK4751" s="693"/>
      <c r="RVL4751" s="696"/>
      <c r="RVM4751" s="693"/>
      <c r="RVN4751" s="696"/>
      <c r="RVO4751" s="693"/>
      <c r="RVP4751" s="696"/>
      <c r="RVQ4751" s="693"/>
      <c r="RVR4751" s="696"/>
      <c r="RVS4751" s="693"/>
      <c r="RVT4751" s="696"/>
      <c r="RVU4751" s="693"/>
      <c r="RVV4751" s="696"/>
      <c r="RVW4751" s="693"/>
      <c r="RVX4751" s="696"/>
      <c r="RVY4751" s="693"/>
      <c r="RVZ4751" s="696"/>
      <c r="RWA4751" s="693"/>
      <c r="RWB4751" s="696"/>
      <c r="RWC4751" s="693"/>
      <c r="RWD4751" s="696"/>
      <c r="RWE4751" s="693"/>
      <c r="RWF4751" s="696"/>
      <c r="RWG4751" s="693"/>
      <c r="RWH4751" s="696"/>
      <c r="RWI4751" s="693"/>
      <c r="RWJ4751" s="696"/>
      <c r="RWK4751" s="693"/>
      <c r="RWL4751" s="696"/>
      <c r="RWM4751" s="693"/>
      <c r="RWN4751" s="696"/>
      <c r="RWO4751" s="693"/>
      <c r="RWP4751" s="696"/>
      <c r="RWQ4751" s="693"/>
      <c r="RWR4751" s="696"/>
      <c r="RWS4751" s="693"/>
      <c r="RWT4751" s="696"/>
      <c r="RWU4751" s="693"/>
      <c r="RWV4751" s="696"/>
      <c r="RWW4751" s="693"/>
      <c r="RWX4751" s="696"/>
      <c r="RWY4751" s="693"/>
      <c r="RWZ4751" s="696"/>
      <c r="RXA4751" s="693"/>
      <c r="RXB4751" s="696"/>
      <c r="RXC4751" s="693"/>
      <c r="RXD4751" s="696"/>
      <c r="RXE4751" s="693"/>
      <c r="RXF4751" s="696"/>
      <c r="RXG4751" s="693"/>
      <c r="RXH4751" s="696"/>
      <c r="RXI4751" s="693"/>
      <c r="RXJ4751" s="696"/>
      <c r="RXK4751" s="693"/>
      <c r="RXL4751" s="696"/>
      <c r="RXM4751" s="693"/>
      <c r="RXN4751" s="696"/>
      <c r="RXO4751" s="693"/>
      <c r="RXP4751" s="696"/>
      <c r="RXQ4751" s="693"/>
      <c r="RXR4751" s="696"/>
      <c r="RXS4751" s="693"/>
      <c r="RXT4751" s="696"/>
      <c r="RXU4751" s="693"/>
      <c r="RXV4751" s="696"/>
      <c r="RXW4751" s="693"/>
      <c r="RXX4751" s="696"/>
      <c r="RXY4751" s="693"/>
      <c r="RXZ4751" s="696"/>
      <c r="RYA4751" s="693"/>
      <c r="RYB4751" s="696"/>
      <c r="RYC4751" s="693"/>
      <c r="RYD4751" s="696"/>
      <c r="RYE4751" s="693"/>
      <c r="RYF4751" s="696"/>
      <c r="RYG4751" s="693"/>
      <c r="RYH4751" s="696"/>
      <c r="RYI4751" s="693"/>
      <c r="RYJ4751" s="696"/>
      <c r="RYK4751" s="693"/>
      <c r="RYL4751" s="696"/>
      <c r="RYM4751" s="693"/>
      <c r="RYN4751" s="696"/>
      <c r="RYO4751" s="693"/>
      <c r="RYP4751" s="696"/>
      <c r="RYQ4751" s="693"/>
      <c r="RYR4751" s="696"/>
      <c r="RYS4751" s="693"/>
      <c r="RYT4751" s="696"/>
      <c r="RYU4751" s="693"/>
      <c r="RYV4751" s="696"/>
      <c r="RYW4751" s="693"/>
      <c r="RYX4751" s="696"/>
      <c r="RYY4751" s="693"/>
      <c r="RYZ4751" s="696"/>
      <c r="RZA4751" s="693"/>
      <c r="RZB4751" s="696"/>
      <c r="RZC4751" s="693"/>
      <c r="RZD4751" s="696"/>
      <c r="RZE4751" s="693"/>
      <c r="RZF4751" s="696"/>
      <c r="RZG4751" s="693"/>
      <c r="RZH4751" s="696"/>
      <c r="RZI4751" s="693"/>
      <c r="RZJ4751" s="696"/>
      <c r="RZK4751" s="693"/>
      <c r="RZL4751" s="696"/>
      <c r="RZM4751" s="693"/>
      <c r="RZN4751" s="696"/>
      <c r="RZO4751" s="693"/>
      <c r="RZP4751" s="696"/>
      <c r="RZQ4751" s="693"/>
      <c r="RZR4751" s="696"/>
      <c r="RZS4751" s="693"/>
      <c r="RZT4751" s="696"/>
      <c r="RZU4751" s="693"/>
      <c r="RZV4751" s="696"/>
      <c r="RZW4751" s="693"/>
      <c r="RZX4751" s="696"/>
      <c r="RZY4751" s="693"/>
      <c r="RZZ4751" s="696"/>
      <c r="SAA4751" s="693"/>
      <c r="SAB4751" s="696"/>
      <c r="SAC4751" s="693"/>
      <c r="SAD4751" s="696"/>
      <c r="SAE4751" s="693"/>
      <c r="SAF4751" s="696"/>
      <c r="SAG4751" s="693"/>
      <c r="SAH4751" s="696"/>
      <c r="SAI4751" s="693"/>
      <c r="SAJ4751" s="696"/>
      <c r="SAK4751" s="693"/>
      <c r="SAL4751" s="696"/>
      <c r="SAM4751" s="693"/>
      <c r="SAN4751" s="696"/>
      <c r="SAO4751" s="693"/>
      <c r="SAP4751" s="696"/>
      <c r="SAQ4751" s="693"/>
      <c r="SAR4751" s="696"/>
      <c r="SAS4751" s="693"/>
      <c r="SAT4751" s="696"/>
      <c r="SAU4751" s="693"/>
      <c r="SAV4751" s="696"/>
      <c r="SAW4751" s="693"/>
      <c r="SAX4751" s="696"/>
      <c r="SAY4751" s="693"/>
      <c r="SAZ4751" s="696"/>
      <c r="SBA4751" s="693"/>
      <c r="SBB4751" s="696"/>
      <c r="SBC4751" s="693"/>
      <c r="SBD4751" s="696"/>
      <c r="SBE4751" s="693"/>
      <c r="SBF4751" s="696"/>
      <c r="SBG4751" s="693"/>
      <c r="SBH4751" s="696"/>
      <c r="SBI4751" s="693"/>
      <c r="SBJ4751" s="696"/>
      <c r="SBK4751" s="693"/>
      <c r="SBL4751" s="696"/>
      <c r="SBM4751" s="693"/>
      <c r="SBN4751" s="696"/>
      <c r="SBO4751" s="693"/>
      <c r="SBP4751" s="696"/>
      <c r="SBQ4751" s="693"/>
      <c r="SBR4751" s="696"/>
      <c r="SBS4751" s="693"/>
      <c r="SBT4751" s="696"/>
      <c r="SBU4751" s="693"/>
      <c r="SBV4751" s="696"/>
      <c r="SBW4751" s="693"/>
      <c r="SBX4751" s="696"/>
      <c r="SBY4751" s="693"/>
      <c r="SBZ4751" s="696"/>
      <c r="SCA4751" s="693"/>
      <c r="SCB4751" s="696"/>
      <c r="SCC4751" s="693"/>
      <c r="SCD4751" s="696"/>
      <c r="SCE4751" s="693"/>
      <c r="SCF4751" s="696"/>
      <c r="SCG4751" s="693"/>
      <c r="SCH4751" s="696"/>
      <c r="SCI4751" s="693"/>
      <c r="SCJ4751" s="696"/>
      <c r="SCK4751" s="693"/>
      <c r="SCL4751" s="696"/>
      <c r="SCM4751" s="693"/>
      <c r="SCN4751" s="696"/>
      <c r="SCO4751" s="693"/>
      <c r="SCP4751" s="696"/>
      <c r="SCQ4751" s="693"/>
      <c r="SCR4751" s="696"/>
      <c r="SCS4751" s="693"/>
      <c r="SCT4751" s="696"/>
      <c r="SCU4751" s="693"/>
      <c r="SCV4751" s="696"/>
      <c r="SCW4751" s="693"/>
      <c r="SCX4751" s="696"/>
      <c r="SCY4751" s="693"/>
      <c r="SCZ4751" s="696"/>
      <c r="SDA4751" s="693"/>
      <c r="SDB4751" s="696"/>
      <c r="SDC4751" s="693"/>
      <c r="SDD4751" s="696"/>
      <c r="SDE4751" s="693"/>
      <c r="SDF4751" s="696"/>
      <c r="SDG4751" s="693"/>
      <c r="SDH4751" s="696"/>
      <c r="SDI4751" s="693"/>
      <c r="SDJ4751" s="696"/>
      <c r="SDK4751" s="693"/>
      <c r="SDL4751" s="696"/>
      <c r="SDM4751" s="693"/>
      <c r="SDN4751" s="696"/>
      <c r="SDO4751" s="693"/>
      <c r="SDP4751" s="696"/>
      <c r="SDQ4751" s="693"/>
      <c r="SDR4751" s="696"/>
      <c r="SDS4751" s="693"/>
      <c r="SDT4751" s="696"/>
      <c r="SDU4751" s="693"/>
      <c r="SDV4751" s="696"/>
      <c r="SDW4751" s="693"/>
      <c r="SDX4751" s="696"/>
      <c r="SDY4751" s="693"/>
      <c r="SDZ4751" s="696"/>
      <c r="SEA4751" s="693"/>
      <c r="SEB4751" s="696"/>
      <c r="SEC4751" s="693"/>
      <c r="SED4751" s="696"/>
      <c r="SEE4751" s="693"/>
      <c r="SEF4751" s="696"/>
      <c r="SEG4751" s="693"/>
      <c r="SEH4751" s="696"/>
      <c r="SEI4751" s="693"/>
      <c r="SEJ4751" s="696"/>
      <c r="SEK4751" s="693"/>
      <c r="SEL4751" s="696"/>
      <c r="SEM4751" s="693"/>
      <c r="SEN4751" s="696"/>
      <c r="SEO4751" s="693"/>
      <c r="SEP4751" s="696"/>
      <c r="SEQ4751" s="693"/>
      <c r="SER4751" s="696"/>
      <c r="SES4751" s="693"/>
      <c r="SET4751" s="696"/>
      <c r="SEU4751" s="693"/>
      <c r="SEV4751" s="696"/>
      <c r="SEW4751" s="693"/>
      <c r="SEX4751" s="696"/>
      <c r="SEY4751" s="693"/>
      <c r="SEZ4751" s="696"/>
      <c r="SFA4751" s="693"/>
      <c r="SFB4751" s="696"/>
      <c r="SFC4751" s="693"/>
      <c r="SFD4751" s="696"/>
      <c r="SFE4751" s="693"/>
      <c r="SFF4751" s="696"/>
      <c r="SFG4751" s="693"/>
      <c r="SFH4751" s="696"/>
      <c r="SFI4751" s="693"/>
      <c r="SFJ4751" s="696"/>
      <c r="SFK4751" s="693"/>
      <c r="SFL4751" s="696"/>
      <c r="SFM4751" s="693"/>
      <c r="SFN4751" s="696"/>
      <c r="SFO4751" s="693"/>
      <c r="SFP4751" s="696"/>
      <c r="SFQ4751" s="693"/>
      <c r="SFR4751" s="696"/>
      <c r="SFS4751" s="693"/>
      <c r="SFT4751" s="696"/>
      <c r="SFU4751" s="693"/>
      <c r="SFV4751" s="696"/>
      <c r="SFW4751" s="693"/>
      <c r="SFX4751" s="696"/>
      <c r="SFY4751" s="693"/>
      <c r="SFZ4751" s="696"/>
      <c r="SGA4751" s="693"/>
      <c r="SGB4751" s="696"/>
      <c r="SGC4751" s="693"/>
      <c r="SGD4751" s="696"/>
      <c r="SGE4751" s="693"/>
      <c r="SGF4751" s="696"/>
      <c r="SGG4751" s="693"/>
      <c r="SGH4751" s="696"/>
      <c r="SGI4751" s="693"/>
      <c r="SGJ4751" s="696"/>
      <c r="SGK4751" s="693"/>
      <c r="SGL4751" s="696"/>
      <c r="SGM4751" s="693"/>
      <c r="SGN4751" s="696"/>
      <c r="SGO4751" s="693"/>
      <c r="SGP4751" s="696"/>
      <c r="SGQ4751" s="693"/>
      <c r="SGR4751" s="696"/>
      <c r="SGS4751" s="693"/>
      <c r="SGT4751" s="696"/>
      <c r="SGU4751" s="693"/>
      <c r="SGV4751" s="696"/>
      <c r="SGW4751" s="693"/>
      <c r="SGX4751" s="696"/>
      <c r="SGY4751" s="693"/>
      <c r="SGZ4751" s="696"/>
      <c r="SHA4751" s="693"/>
      <c r="SHB4751" s="696"/>
      <c r="SHC4751" s="693"/>
      <c r="SHD4751" s="696"/>
      <c r="SHE4751" s="693"/>
      <c r="SHF4751" s="696"/>
      <c r="SHG4751" s="693"/>
      <c r="SHH4751" s="696"/>
      <c r="SHI4751" s="693"/>
      <c r="SHJ4751" s="696"/>
      <c r="SHK4751" s="693"/>
      <c r="SHL4751" s="696"/>
      <c r="SHM4751" s="693"/>
      <c r="SHN4751" s="696"/>
      <c r="SHO4751" s="693"/>
      <c r="SHP4751" s="696"/>
      <c r="SHQ4751" s="693"/>
      <c r="SHR4751" s="696"/>
      <c r="SHS4751" s="693"/>
      <c r="SHT4751" s="696"/>
      <c r="SHU4751" s="693"/>
      <c r="SHV4751" s="696"/>
      <c r="SHW4751" s="693"/>
      <c r="SHX4751" s="696"/>
      <c r="SHY4751" s="693"/>
      <c r="SHZ4751" s="696"/>
      <c r="SIA4751" s="693"/>
      <c r="SIB4751" s="696"/>
      <c r="SIC4751" s="693"/>
      <c r="SID4751" s="696"/>
      <c r="SIE4751" s="693"/>
      <c r="SIF4751" s="696"/>
      <c r="SIG4751" s="693"/>
      <c r="SIH4751" s="696"/>
      <c r="SII4751" s="693"/>
      <c r="SIJ4751" s="696"/>
      <c r="SIK4751" s="693"/>
      <c r="SIL4751" s="696"/>
      <c r="SIM4751" s="693"/>
      <c r="SIN4751" s="696"/>
      <c r="SIO4751" s="693"/>
      <c r="SIP4751" s="696"/>
      <c r="SIQ4751" s="693"/>
      <c r="SIR4751" s="696"/>
      <c r="SIS4751" s="693"/>
      <c r="SIT4751" s="696"/>
      <c r="SIU4751" s="693"/>
      <c r="SIV4751" s="696"/>
      <c r="SIW4751" s="693"/>
      <c r="SIX4751" s="696"/>
      <c r="SIY4751" s="693"/>
      <c r="SIZ4751" s="696"/>
      <c r="SJA4751" s="693"/>
      <c r="SJB4751" s="696"/>
      <c r="SJC4751" s="693"/>
      <c r="SJD4751" s="696"/>
      <c r="SJE4751" s="693"/>
      <c r="SJF4751" s="696"/>
      <c r="SJG4751" s="693"/>
      <c r="SJH4751" s="696"/>
      <c r="SJI4751" s="693"/>
      <c r="SJJ4751" s="696"/>
      <c r="SJK4751" s="693"/>
      <c r="SJL4751" s="696"/>
      <c r="SJM4751" s="693"/>
      <c r="SJN4751" s="696"/>
      <c r="SJO4751" s="693"/>
      <c r="SJP4751" s="696"/>
      <c r="SJQ4751" s="693"/>
      <c r="SJR4751" s="696"/>
      <c r="SJS4751" s="693"/>
      <c r="SJT4751" s="696"/>
      <c r="SJU4751" s="693"/>
      <c r="SJV4751" s="696"/>
      <c r="SJW4751" s="693"/>
      <c r="SJX4751" s="696"/>
      <c r="SJY4751" s="693"/>
      <c r="SJZ4751" s="696"/>
      <c r="SKA4751" s="693"/>
      <c r="SKB4751" s="696"/>
      <c r="SKC4751" s="693"/>
      <c r="SKD4751" s="696"/>
      <c r="SKE4751" s="693"/>
      <c r="SKF4751" s="696"/>
      <c r="SKG4751" s="693"/>
      <c r="SKH4751" s="696"/>
      <c r="SKI4751" s="693"/>
      <c r="SKJ4751" s="696"/>
      <c r="SKK4751" s="693"/>
      <c r="SKL4751" s="696"/>
      <c r="SKM4751" s="693"/>
      <c r="SKN4751" s="696"/>
      <c r="SKO4751" s="693"/>
      <c r="SKP4751" s="696"/>
      <c r="SKQ4751" s="693"/>
      <c r="SKR4751" s="696"/>
      <c r="SKS4751" s="693"/>
      <c r="SKT4751" s="696"/>
      <c r="SKU4751" s="693"/>
      <c r="SKV4751" s="696"/>
      <c r="SKW4751" s="693"/>
      <c r="SKX4751" s="696"/>
      <c r="SKY4751" s="693"/>
      <c r="SKZ4751" s="696"/>
      <c r="SLA4751" s="693"/>
      <c r="SLB4751" s="696"/>
      <c r="SLC4751" s="693"/>
      <c r="SLD4751" s="696"/>
      <c r="SLE4751" s="693"/>
      <c r="SLF4751" s="696"/>
      <c r="SLG4751" s="693"/>
      <c r="SLH4751" s="696"/>
      <c r="SLI4751" s="693"/>
      <c r="SLJ4751" s="696"/>
      <c r="SLK4751" s="693"/>
      <c r="SLL4751" s="696"/>
      <c r="SLM4751" s="693"/>
      <c r="SLN4751" s="696"/>
      <c r="SLO4751" s="693"/>
      <c r="SLP4751" s="696"/>
      <c r="SLQ4751" s="693"/>
      <c r="SLR4751" s="696"/>
      <c r="SLS4751" s="693"/>
      <c r="SLT4751" s="696"/>
      <c r="SLU4751" s="693"/>
      <c r="SLV4751" s="696"/>
      <c r="SLW4751" s="693"/>
      <c r="SLX4751" s="696"/>
      <c r="SLY4751" s="693"/>
      <c r="SLZ4751" s="696"/>
      <c r="SMA4751" s="693"/>
      <c r="SMB4751" s="696"/>
      <c r="SMC4751" s="693"/>
      <c r="SMD4751" s="696"/>
      <c r="SME4751" s="693"/>
      <c r="SMF4751" s="696"/>
      <c r="SMG4751" s="693"/>
      <c r="SMH4751" s="696"/>
      <c r="SMI4751" s="693"/>
      <c r="SMJ4751" s="696"/>
      <c r="SMK4751" s="693"/>
      <c r="SML4751" s="696"/>
      <c r="SMM4751" s="693"/>
      <c r="SMN4751" s="696"/>
      <c r="SMO4751" s="693"/>
      <c r="SMP4751" s="696"/>
      <c r="SMQ4751" s="693"/>
      <c r="SMR4751" s="696"/>
      <c r="SMS4751" s="693"/>
      <c r="SMT4751" s="696"/>
      <c r="SMU4751" s="693"/>
      <c r="SMV4751" s="696"/>
      <c r="SMW4751" s="693"/>
      <c r="SMX4751" s="696"/>
      <c r="SMY4751" s="693"/>
      <c r="SMZ4751" s="696"/>
      <c r="SNA4751" s="693"/>
      <c r="SNB4751" s="696"/>
      <c r="SNC4751" s="693"/>
      <c r="SND4751" s="696"/>
      <c r="SNE4751" s="693"/>
      <c r="SNF4751" s="696"/>
      <c r="SNG4751" s="693"/>
      <c r="SNH4751" s="696"/>
      <c r="SNI4751" s="693"/>
      <c r="SNJ4751" s="696"/>
      <c r="SNK4751" s="693"/>
      <c r="SNL4751" s="696"/>
      <c r="SNM4751" s="693"/>
      <c r="SNN4751" s="696"/>
      <c r="SNO4751" s="693"/>
      <c r="SNP4751" s="696"/>
      <c r="SNQ4751" s="693"/>
      <c r="SNR4751" s="696"/>
      <c r="SNS4751" s="693"/>
      <c r="SNT4751" s="696"/>
      <c r="SNU4751" s="693"/>
      <c r="SNV4751" s="696"/>
      <c r="SNW4751" s="693"/>
      <c r="SNX4751" s="696"/>
      <c r="SNY4751" s="693"/>
      <c r="SNZ4751" s="696"/>
      <c r="SOA4751" s="693"/>
      <c r="SOB4751" s="696"/>
      <c r="SOC4751" s="693"/>
      <c r="SOD4751" s="696"/>
      <c r="SOE4751" s="693"/>
      <c r="SOF4751" s="696"/>
      <c r="SOG4751" s="693"/>
      <c r="SOH4751" s="696"/>
      <c r="SOI4751" s="693"/>
      <c r="SOJ4751" s="696"/>
      <c r="SOK4751" s="693"/>
      <c r="SOL4751" s="696"/>
      <c r="SOM4751" s="693"/>
      <c r="SON4751" s="696"/>
      <c r="SOO4751" s="693"/>
      <c r="SOP4751" s="696"/>
      <c r="SOQ4751" s="693"/>
      <c r="SOR4751" s="696"/>
      <c r="SOS4751" s="693"/>
      <c r="SOT4751" s="696"/>
      <c r="SOU4751" s="693"/>
      <c r="SOV4751" s="696"/>
      <c r="SOW4751" s="693"/>
      <c r="SOX4751" s="696"/>
      <c r="SOY4751" s="693"/>
      <c r="SOZ4751" s="696"/>
      <c r="SPA4751" s="693"/>
      <c r="SPB4751" s="696"/>
      <c r="SPC4751" s="693"/>
      <c r="SPD4751" s="696"/>
      <c r="SPE4751" s="693"/>
      <c r="SPF4751" s="696"/>
      <c r="SPG4751" s="693"/>
      <c r="SPH4751" s="696"/>
      <c r="SPI4751" s="693"/>
      <c r="SPJ4751" s="696"/>
      <c r="SPK4751" s="693"/>
      <c r="SPL4751" s="696"/>
      <c r="SPM4751" s="693"/>
      <c r="SPN4751" s="696"/>
      <c r="SPO4751" s="693"/>
      <c r="SPP4751" s="696"/>
      <c r="SPQ4751" s="693"/>
      <c r="SPR4751" s="696"/>
      <c r="SPS4751" s="693"/>
      <c r="SPT4751" s="696"/>
      <c r="SPU4751" s="693"/>
      <c r="SPV4751" s="696"/>
      <c r="SPW4751" s="693"/>
      <c r="SPX4751" s="696"/>
      <c r="SPY4751" s="693"/>
      <c r="SPZ4751" s="696"/>
      <c r="SQA4751" s="693"/>
      <c r="SQB4751" s="696"/>
      <c r="SQC4751" s="693"/>
      <c r="SQD4751" s="696"/>
      <c r="SQE4751" s="693"/>
      <c r="SQF4751" s="696"/>
      <c r="SQG4751" s="693"/>
      <c r="SQH4751" s="696"/>
      <c r="SQI4751" s="693"/>
      <c r="SQJ4751" s="696"/>
      <c r="SQK4751" s="693"/>
      <c r="SQL4751" s="696"/>
      <c r="SQM4751" s="693"/>
      <c r="SQN4751" s="696"/>
      <c r="SQO4751" s="693"/>
      <c r="SQP4751" s="696"/>
      <c r="SQQ4751" s="693"/>
      <c r="SQR4751" s="696"/>
      <c r="SQS4751" s="693"/>
      <c r="SQT4751" s="696"/>
      <c r="SQU4751" s="693"/>
      <c r="SQV4751" s="696"/>
      <c r="SQW4751" s="693"/>
      <c r="SQX4751" s="696"/>
      <c r="SQY4751" s="693"/>
      <c r="SQZ4751" s="696"/>
      <c r="SRA4751" s="693"/>
      <c r="SRB4751" s="696"/>
      <c r="SRC4751" s="693"/>
      <c r="SRD4751" s="696"/>
      <c r="SRE4751" s="693"/>
      <c r="SRF4751" s="696"/>
      <c r="SRG4751" s="693"/>
      <c r="SRH4751" s="696"/>
      <c r="SRI4751" s="693"/>
      <c r="SRJ4751" s="696"/>
      <c r="SRK4751" s="693"/>
      <c r="SRL4751" s="696"/>
      <c r="SRM4751" s="693"/>
      <c r="SRN4751" s="696"/>
      <c r="SRO4751" s="693"/>
      <c r="SRP4751" s="696"/>
      <c r="SRQ4751" s="693"/>
      <c r="SRR4751" s="696"/>
      <c r="SRS4751" s="693"/>
      <c r="SRT4751" s="696"/>
      <c r="SRU4751" s="693"/>
      <c r="SRV4751" s="696"/>
      <c r="SRW4751" s="693"/>
      <c r="SRX4751" s="696"/>
      <c r="SRY4751" s="693"/>
      <c r="SRZ4751" s="696"/>
      <c r="SSA4751" s="693"/>
      <c r="SSB4751" s="696"/>
      <c r="SSC4751" s="693"/>
      <c r="SSD4751" s="696"/>
      <c r="SSE4751" s="693"/>
      <c r="SSF4751" s="696"/>
      <c r="SSG4751" s="693"/>
      <c r="SSH4751" s="696"/>
      <c r="SSI4751" s="693"/>
      <c r="SSJ4751" s="696"/>
      <c r="SSK4751" s="693"/>
      <c r="SSL4751" s="696"/>
      <c r="SSM4751" s="693"/>
      <c r="SSN4751" s="696"/>
      <c r="SSO4751" s="693"/>
      <c r="SSP4751" s="696"/>
      <c r="SSQ4751" s="693"/>
      <c r="SSR4751" s="696"/>
      <c r="SSS4751" s="693"/>
      <c r="SST4751" s="696"/>
      <c r="SSU4751" s="693"/>
      <c r="SSV4751" s="696"/>
      <c r="SSW4751" s="693"/>
      <c r="SSX4751" s="696"/>
      <c r="SSY4751" s="693"/>
      <c r="SSZ4751" s="696"/>
      <c r="STA4751" s="693"/>
      <c r="STB4751" s="696"/>
      <c r="STC4751" s="693"/>
      <c r="STD4751" s="696"/>
      <c r="STE4751" s="693"/>
      <c r="STF4751" s="696"/>
      <c r="STG4751" s="693"/>
      <c r="STH4751" s="696"/>
      <c r="STI4751" s="693"/>
      <c r="STJ4751" s="696"/>
      <c r="STK4751" s="693"/>
      <c r="STL4751" s="696"/>
      <c r="STM4751" s="693"/>
      <c r="STN4751" s="696"/>
      <c r="STO4751" s="693"/>
      <c r="STP4751" s="696"/>
      <c r="STQ4751" s="693"/>
      <c r="STR4751" s="696"/>
      <c r="STS4751" s="693"/>
      <c r="STT4751" s="696"/>
      <c r="STU4751" s="693"/>
      <c r="STV4751" s="696"/>
      <c r="STW4751" s="693"/>
      <c r="STX4751" s="696"/>
      <c r="STY4751" s="693"/>
      <c r="STZ4751" s="696"/>
      <c r="SUA4751" s="693"/>
      <c r="SUB4751" s="696"/>
      <c r="SUC4751" s="693"/>
      <c r="SUD4751" s="696"/>
      <c r="SUE4751" s="693"/>
      <c r="SUF4751" s="696"/>
      <c r="SUG4751" s="693"/>
      <c r="SUH4751" s="696"/>
      <c r="SUI4751" s="693"/>
      <c r="SUJ4751" s="696"/>
      <c r="SUK4751" s="693"/>
      <c r="SUL4751" s="696"/>
      <c r="SUM4751" s="693"/>
      <c r="SUN4751" s="696"/>
      <c r="SUO4751" s="693"/>
      <c r="SUP4751" s="696"/>
      <c r="SUQ4751" s="693"/>
      <c r="SUR4751" s="696"/>
      <c r="SUS4751" s="693"/>
      <c r="SUT4751" s="696"/>
      <c r="SUU4751" s="693"/>
      <c r="SUV4751" s="696"/>
      <c r="SUW4751" s="693"/>
      <c r="SUX4751" s="696"/>
      <c r="SUY4751" s="693"/>
      <c r="SUZ4751" s="696"/>
      <c r="SVA4751" s="693"/>
      <c r="SVB4751" s="696"/>
      <c r="SVC4751" s="693"/>
      <c r="SVD4751" s="696"/>
      <c r="SVE4751" s="693"/>
      <c r="SVF4751" s="696"/>
      <c r="SVG4751" s="693"/>
      <c r="SVH4751" s="696"/>
      <c r="SVI4751" s="693"/>
      <c r="SVJ4751" s="696"/>
      <c r="SVK4751" s="693"/>
      <c r="SVL4751" s="696"/>
      <c r="SVM4751" s="693"/>
      <c r="SVN4751" s="696"/>
      <c r="SVO4751" s="693"/>
      <c r="SVP4751" s="696"/>
      <c r="SVQ4751" s="693"/>
      <c r="SVR4751" s="696"/>
      <c r="SVS4751" s="693"/>
      <c r="SVT4751" s="696"/>
      <c r="SVU4751" s="693"/>
      <c r="SVV4751" s="696"/>
      <c r="SVW4751" s="693"/>
      <c r="SVX4751" s="696"/>
      <c r="SVY4751" s="693"/>
      <c r="SVZ4751" s="696"/>
      <c r="SWA4751" s="693"/>
      <c r="SWB4751" s="696"/>
      <c r="SWC4751" s="693"/>
      <c r="SWD4751" s="696"/>
      <c r="SWE4751" s="693"/>
      <c r="SWF4751" s="696"/>
      <c r="SWG4751" s="693"/>
      <c r="SWH4751" s="696"/>
      <c r="SWI4751" s="693"/>
      <c r="SWJ4751" s="696"/>
      <c r="SWK4751" s="693"/>
      <c r="SWL4751" s="696"/>
      <c r="SWM4751" s="693"/>
      <c r="SWN4751" s="696"/>
      <c r="SWO4751" s="693"/>
      <c r="SWP4751" s="696"/>
      <c r="SWQ4751" s="693"/>
      <c r="SWR4751" s="696"/>
      <c r="SWS4751" s="693"/>
      <c r="SWT4751" s="696"/>
      <c r="SWU4751" s="693"/>
      <c r="SWV4751" s="696"/>
      <c r="SWW4751" s="693"/>
      <c r="SWX4751" s="696"/>
      <c r="SWY4751" s="693"/>
      <c r="SWZ4751" s="696"/>
      <c r="SXA4751" s="693"/>
      <c r="SXB4751" s="696"/>
      <c r="SXC4751" s="693"/>
      <c r="SXD4751" s="696"/>
      <c r="SXE4751" s="693"/>
      <c r="SXF4751" s="696"/>
      <c r="SXG4751" s="693"/>
      <c r="SXH4751" s="696"/>
      <c r="SXI4751" s="693"/>
      <c r="SXJ4751" s="696"/>
      <c r="SXK4751" s="693"/>
      <c r="SXL4751" s="696"/>
      <c r="SXM4751" s="693"/>
      <c r="SXN4751" s="696"/>
      <c r="SXO4751" s="693"/>
      <c r="SXP4751" s="696"/>
      <c r="SXQ4751" s="693"/>
      <c r="SXR4751" s="696"/>
      <c r="SXS4751" s="693"/>
      <c r="SXT4751" s="696"/>
      <c r="SXU4751" s="693"/>
      <c r="SXV4751" s="696"/>
      <c r="SXW4751" s="693"/>
      <c r="SXX4751" s="696"/>
      <c r="SXY4751" s="693"/>
      <c r="SXZ4751" s="696"/>
      <c r="SYA4751" s="693"/>
      <c r="SYB4751" s="696"/>
      <c r="SYC4751" s="693"/>
      <c r="SYD4751" s="696"/>
      <c r="SYE4751" s="693"/>
      <c r="SYF4751" s="696"/>
      <c r="SYG4751" s="693"/>
      <c r="SYH4751" s="696"/>
      <c r="SYI4751" s="693"/>
      <c r="SYJ4751" s="696"/>
      <c r="SYK4751" s="693"/>
      <c r="SYL4751" s="696"/>
      <c r="SYM4751" s="693"/>
      <c r="SYN4751" s="696"/>
      <c r="SYO4751" s="693"/>
      <c r="SYP4751" s="696"/>
      <c r="SYQ4751" s="693"/>
      <c r="SYR4751" s="696"/>
      <c r="SYS4751" s="693"/>
      <c r="SYT4751" s="696"/>
      <c r="SYU4751" s="693"/>
      <c r="SYV4751" s="696"/>
      <c r="SYW4751" s="693"/>
      <c r="SYX4751" s="696"/>
      <c r="SYY4751" s="693"/>
      <c r="SYZ4751" s="696"/>
      <c r="SZA4751" s="693"/>
      <c r="SZB4751" s="696"/>
      <c r="SZC4751" s="693"/>
      <c r="SZD4751" s="696"/>
      <c r="SZE4751" s="693"/>
      <c r="SZF4751" s="696"/>
      <c r="SZG4751" s="693"/>
      <c r="SZH4751" s="696"/>
      <c r="SZI4751" s="693"/>
      <c r="SZJ4751" s="696"/>
      <c r="SZK4751" s="693"/>
      <c r="SZL4751" s="696"/>
      <c r="SZM4751" s="693"/>
      <c r="SZN4751" s="696"/>
      <c r="SZO4751" s="693"/>
      <c r="SZP4751" s="696"/>
      <c r="SZQ4751" s="693"/>
      <c r="SZR4751" s="696"/>
      <c r="SZS4751" s="693"/>
      <c r="SZT4751" s="696"/>
      <c r="SZU4751" s="693"/>
      <c r="SZV4751" s="696"/>
      <c r="SZW4751" s="693"/>
      <c r="SZX4751" s="696"/>
      <c r="SZY4751" s="693"/>
      <c r="SZZ4751" s="696"/>
      <c r="TAA4751" s="693"/>
      <c r="TAB4751" s="696"/>
      <c r="TAC4751" s="693"/>
      <c r="TAD4751" s="696"/>
      <c r="TAE4751" s="693"/>
      <c r="TAF4751" s="696"/>
      <c r="TAG4751" s="693"/>
      <c r="TAH4751" s="696"/>
      <c r="TAI4751" s="693"/>
      <c r="TAJ4751" s="696"/>
      <c r="TAK4751" s="693"/>
      <c r="TAL4751" s="696"/>
      <c r="TAM4751" s="693"/>
      <c r="TAN4751" s="696"/>
      <c r="TAO4751" s="693"/>
      <c r="TAP4751" s="696"/>
      <c r="TAQ4751" s="693"/>
      <c r="TAR4751" s="696"/>
      <c r="TAS4751" s="693"/>
      <c r="TAT4751" s="696"/>
      <c r="TAU4751" s="693"/>
      <c r="TAV4751" s="696"/>
      <c r="TAW4751" s="693"/>
      <c r="TAX4751" s="696"/>
      <c r="TAY4751" s="693"/>
      <c r="TAZ4751" s="696"/>
      <c r="TBA4751" s="693"/>
      <c r="TBB4751" s="696"/>
      <c r="TBC4751" s="693"/>
      <c r="TBD4751" s="696"/>
      <c r="TBE4751" s="693"/>
      <c r="TBF4751" s="696"/>
      <c r="TBG4751" s="693"/>
      <c r="TBH4751" s="696"/>
      <c r="TBI4751" s="693"/>
      <c r="TBJ4751" s="696"/>
      <c r="TBK4751" s="693"/>
      <c r="TBL4751" s="696"/>
      <c r="TBM4751" s="693"/>
      <c r="TBN4751" s="696"/>
      <c r="TBO4751" s="693"/>
      <c r="TBP4751" s="696"/>
      <c r="TBQ4751" s="693"/>
      <c r="TBR4751" s="696"/>
      <c r="TBS4751" s="693"/>
      <c r="TBT4751" s="696"/>
      <c r="TBU4751" s="693"/>
      <c r="TBV4751" s="696"/>
      <c r="TBW4751" s="693"/>
      <c r="TBX4751" s="696"/>
      <c r="TBY4751" s="693"/>
      <c r="TBZ4751" s="696"/>
      <c r="TCA4751" s="693"/>
      <c r="TCB4751" s="696"/>
      <c r="TCC4751" s="693"/>
      <c r="TCD4751" s="696"/>
      <c r="TCE4751" s="693"/>
      <c r="TCF4751" s="696"/>
      <c r="TCG4751" s="693"/>
      <c r="TCH4751" s="696"/>
      <c r="TCI4751" s="693"/>
      <c r="TCJ4751" s="696"/>
      <c r="TCK4751" s="693"/>
      <c r="TCL4751" s="696"/>
      <c r="TCM4751" s="693"/>
      <c r="TCN4751" s="696"/>
      <c r="TCO4751" s="693"/>
      <c r="TCP4751" s="696"/>
      <c r="TCQ4751" s="693"/>
      <c r="TCR4751" s="696"/>
      <c r="TCS4751" s="693"/>
      <c r="TCT4751" s="696"/>
      <c r="TCU4751" s="693"/>
      <c r="TCV4751" s="696"/>
      <c r="TCW4751" s="693"/>
      <c r="TCX4751" s="696"/>
      <c r="TCY4751" s="693"/>
      <c r="TCZ4751" s="696"/>
      <c r="TDA4751" s="693"/>
      <c r="TDB4751" s="696"/>
      <c r="TDC4751" s="693"/>
      <c r="TDD4751" s="696"/>
      <c r="TDE4751" s="693"/>
      <c r="TDF4751" s="696"/>
      <c r="TDG4751" s="693"/>
      <c r="TDH4751" s="696"/>
      <c r="TDI4751" s="693"/>
      <c r="TDJ4751" s="696"/>
      <c r="TDK4751" s="693"/>
      <c r="TDL4751" s="696"/>
      <c r="TDM4751" s="693"/>
      <c r="TDN4751" s="696"/>
      <c r="TDO4751" s="693"/>
      <c r="TDP4751" s="696"/>
      <c r="TDQ4751" s="693"/>
      <c r="TDR4751" s="696"/>
      <c r="TDS4751" s="693"/>
      <c r="TDT4751" s="696"/>
      <c r="TDU4751" s="693"/>
      <c r="TDV4751" s="696"/>
      <c r="TDW4751" s="693"/>
      <c r="TDX4751" s="696"/>
      <c r="TDY4751" s="693"/>
      <c r="TDZ4751" s="696"/>
      <c r="TEA4751" s="693"/>
      <c r="TEB4751" s="696"/>
      <c r="TEC4751" s="693"/>
      <c r="TED4751" s="696"/>
      <c r="TEE4751" s="693"/>
      <c r="TEF4751" s="696"/>
      <c r="TEG4751" s="693"/>
      <c r="TEH4751" s="696"/>
      <c r="TEI4751" s="693"/>
      <c r="TEJ4751" s="696"/>
      <c r="TEK4751" s="693"/>
      <c r="TEL4751" s="696"/>
      <c r="TEM4751" s="693"/>
      <c r="TEN4751" s="696"/>
      <c r="TEO4751" s="693"/>
      <c r="TEP4751" s="696"/>
      <c r="TEQ4751" s="693"/>
      <c r="TER4751" s="696"/>
      <c r="TES4751" s="693"/>
      <c r="TET4751" s="696"/>
      <c r="TEU4751" s="693"/>
      <c r="TEV4751" s="696"/>
      <c r="TEW4751" s="693"/>
      <c r="TEX4751" s="696"/>
      <c r="TEY4751" s="693"/>
      <c r="TEZ4751" s="696"/>
      <c r="TFA4751" s="693"/>
      <c r="TFB4751" s="696"/>
      <c r="TFC4751" s="693"/>
      <c r="TFD4751" s="696"/>
      <c r="TFE4751" s="693"/>
      <c r="TFF4751" s="696"/>
      <c r="TFG4751" s="693"/>
      <c r="TFH4751" s="696"/>
      <c r="TFI4751" s="693"/>
      <c r="TFJ4751" s="696"/>
      <c r="TFK4751" s="693"/>
      <c r="TFL4751" s="696"/>
      <c r="TFM4751" s="693"/>
      <c r="TFN4751" s="696"/>
      <c r="TFO4751" s="693"/>
      <c r="TFP4751" s="696"/>
      <c r="TFQ4751" s="693"/>
      <c r="TFR4751" s="696"/>
      <c r="TFS4751" s="693"/>
      <c r="TFT4751" s="696"/>
      <c r="TFU4751" s="693"/>
      <c r="TFV4751" s="696"/>
      <c r="TFW4751" s="693"/>
      <c r="TFX4751" s="696"/>
      <c r="TFY4751" s="693"/>
      <c r="TFZ4751" s="696"/>
      <c r="TGA4751" s="693"/>
      <c r="TGB4751" s="696"/>
      <c r="TGC4751" s="693"/>
      <c r="TGD4751" s="696"/>
      <c r="TGE4751" s="693"/>
      <c r="TGF4751" s="696"/>
      <c r="TGG4751" s="693"/>
      <c r="TGH4751" s="696"/>
      <c r="TGI4751" s="693"/>
      <c r="TGJ4751" s="696"/>
      <c r="TGK4751" s="693"/>
      <c r="TGL4751" s="696"/>
      <c r="TGM4751" s="693"/>
      <c r="TGN4751" s="696"/>
      <c r="TGO4751" s="693"/>
      <c r="TGP4751" s="696"/>
      <c r="TGQ4751" s="693"/>
      <c r="TGR4751" s="696"/>
      <c r="TGS4751" s="693"/>
      <c r="TGT4751" s="696"/>
      <c r="TGU4751" s="693"/>
      <c r="TGV4751" s="696"/>
      <c r="TGW4751" s="693"/>
      <c r="TGX4751" s="696"/>
      <c r="TGY4751" s="693"/>
      <c r="TGZ4751" s="696"/>
      <c r="THA4751" s="693"/>
      <c r="THB4751" s="696"/>
      <c r="THC4751" s="693"/>
      <c r="THD4751" s="696"/>
      <c r="THE4751" s="693"/>
      <c r="THF4751" s="696"/>
      <c r="THG4751" s="693"/>
      <c r="THH4751" s="696"/>
      <c r="THI4751" s="693"/>
      <c r="THJ4751" s="696"/>
      <c r="THK4751" s="693"/>
      <c r="THL4751" s="696"/>
      <c r="THM4751" s="693"/>
      <c r="THN4751" s="696"/>
      <c r="THO4751" s="693"/>
      <c r="THP4751" s="696"/>
      <c r="THQ4751" s="693"/>
      <c r="THR4751" s="696"/>
      <c r="THS4751" s="693"/>
      <c r="THT4751" s="696"/>
      <c r="THU4751" s="693"/>
      <c r="THV4751" s="696"/>
      <c r="THW4751" s="693"/>
      <c r="THX4751" s="696"/>
      <c r="THY4751" s="693"/>
      <c r="THZ4751" s="696"/>
      <c r="TIA4751" s="693"/>
      <c r="TIB4751" s="696"/>
      <c r="TIC4751" s="693"/>
      <c r="TID4751" s="696"/>
      <c r="TIE4751" s="693"/>
      <c r="TIF4751" s="696"/>
      <c r="TIG4751" s="693"/>
      <c r="TIH4751" s="696"/>
      <c r="TII4751" s="693"/>
      <c r="TIJ4751" s="696"/>
      <c r="TIK4751" s="693"/>
      <c r="TIL4751" s="696"/>
      <c r="TIM4751" s="693"/>
      <c r="TIN4751" s="696"/>
      <c r="TIO4751" s="693"/>
      <c r="TIP4751" s="696"/>
      <c r="TIQ4751" s="693"/>
      <c r="TIR4751" s="696"/>
      <c r="TIS4751" s="693"/>
      <c r="TIT4751" s="696"/>
      <c r="TIU4751" s="693"/>
      <c r="TIV4751" s="696"/>
      <c r="TIW4751" s="693"/>
      <c r="TIX4751" s="696"/>
      <c r="TIY4751" s="693"/>
      <c r="TIZ4751" s="696"/>
      <c r="TJA4751" s="693"/>
      <c r="TJB4751" s="696"/>
      <c r="TJC4751" s="693"/>
      <c r="TJD4751" s="696"/>
      <c r="TJE4751" s="693"/>
      <c r="TJF4751" s="696"/>
      <c r="TJG4751" s="693"/>
      <c r="TJH4751" s="696"/>
      <c r="TJI4751" s="693"/>
      <c r="TJJ4751" s="696"/>
      <c r="TJK4751" s="693"/>
      <c r="TJL4751" s="696"/>
      <c r="TJM4751" s="693"/>
      <c r="TJN4751" s="696"/>
      <c r="TJO4751" s="693"/>
      <c r="TJP4751" s="696"/>
      <c r="TJQ4751" s="693"/>
      <c r="TJR4751" s="696"/>
      <c r="TJS4751" s="693"/>
      <c r="TJT4751" s="696"/>
      <c r="TJU4751" s="693"/>
      <c r="TJV4751" s="696"/>
      <c r="TJW4751" s="693"/>
      <c r="TJX4751" s="696"/>
      <c r="TJY4751" s="693"/>
      <c r="TJZ4751" s="696"/>
      <c r="TKA4751" s="693"/>
      <c r="TKB4751" s="696"/>
      <c r="TKC4751" s="693"/>
      <c r="TKD4751" s="696"/>
      <c r="TKE4751" s="693"/>
      <c r="TKF4751" s="696"/>
      <c r="TKG4751" s="693"/>
      <c r="TKH4751" s="696"/>
      <c r="TKI4751" s="693"/>
      <c r="TKJ4751" s="696"/>
      <c r="TKK4751" s="693"/>
      <c r="TKL4751" s="696"/>
      <c r="TKM4751" s="693"/>
      <c r="TKN4751" s="696"/>
      <c r="TKO4751" s="693"/>
      <c r="TKP4751" s="696"/>
      <c r="TKQ4751" s="693"/>
      <c r="TKR4751" s="696"/>
      <c r="TKS4751" s="693"/>
      <c r="TKT4751" s="696"/>
      <c r="TKU4751" s="693"/>
      <c r="TKV4751" s="696"/>
      <c r="TKW4751" s="693"/>
      <c r="TKX4751" s="696"/>
      <c r="TKY4751" s="693"/>
      <c r="TKZ4751" s="696"/>
      <c r="TLA4751" s="693"/>
      <c r="TLB4751" s="696"/>
      <c r="TLC4751" s="693"/>
      <c r="TLD4751" s="696"/>
      <c r="TLE4751" s="693"/>
      <c r="TLF4751" s="696"/>
      <c r="TLG4751" s="693"/>
      <c r="TLH4751" s="696"/>
      <c r="TLI4751" s="693"/>
      <c r="TLJ4751" s="696"/>
      <c r="TLK4751" s="693"/>
      <c r="TLL4751" s="696"/>
      <c r="TLM4751" s="693"/>
      <c r="TLN4751" s="696"/>
      <c r="TLO4751" s="693"/>
      <c r="TLP4751" s="696"/>
      <c r="TLQ4751" s="693"/>
      <c r="TLR4751" s="696"/>
      <c r="TLS4751" s="693"/>
      <c r="TLT4751" s="696"/>
      <c r="TLU4751" s="693"/>
      <c r="TLV4751" s="696"/>
      <c r="TLW4751" s="693"/>
      <c r="TLX4751" s="696"/>
      <c r="TLY4751" s="693"/>
      <c r="TLZ4751" s="696"/>
      <c r="TMA4751" s="693"/>
      <c r="TMB4751" s="696"/>
      <c r="TMC4751" s="693"/>
      <c r="TMD4751" s="696"/>
      <c r="TME4751" s="693"/>
      <c r="TMF4751" s="696"/>
      <c r="TMG4751" s="693"/>
      <c r="TMH4751" s="696"/>
      <c r="TMI4751" s="693"/>
      <c r="TMJ4751" s="696"/>
      <c r="TMK4751" s="693"/>
      <c r="TML4751" s="696"/>
      <c r="TMM4751" s="693"/>
      <c r="TMN4751" s="696"/>
      <c r="TMO4751" s="693"/>
      <c r="TMP4751" s="696"/>
      <c r="TMQ4751" s="693"/>
      <c r="TMR4751" s="696"/>
      <c r="TMS4751" s="693"/>
      <c r="TMT4751" s="696"/>
      <c r="TMU4751" s="693"/>
      <c r="TMV4751" s="696"/>
      <c r="TMW4751" s="693"/>
      <c r="TMX4751" s="696"/>
      <c r="TMY4751" s="693"/>
      <c r="TMZ4751" s="696"/>
      <c r="TNA4751" s="693"/>
      <c r="TNB4751" s="696"/>
      <c r="TNC4751" s="693"/>
      <c r="TND4751" s="696"/>
      <c r="TNE4751" s="693"/>
      <c r="TNF4751" s="696"/>
      <c r="TNG4751" s="693"/>
      <c r="TNH4751" s="696"/>
      <c r="TNI4751" s="693"/>
      <c r="TNJ4751" s="696"/>
      <c r="TNK4751" s="693"/>
      <c r="TNL4751" s="696"/>
      <c r="TNM4751" s="693"/>
      <c r="TNN4751" s="696"/>
      <c r="TNO4751" s="693"/>
      <c r="TNP4751" s="696"/>
      <c r="TNQ4751" s="693"/>
      <c r="TNR4751" s="696"/>
      <c r="TNS4751" s="693"/>
      <c r="TNT4751" s="696"/>
      <c r="TNU4751" s="693"/>
      <c r="TNV4751" s="696"/>
      <c r="TNW4751" s="693"/>
      <c r="TNX4751" s="696"/>
      <c r="TNY4751" s="693"/>
      <c r="TNZ4751" s="696"/>
      <c r="TOA4751" s="693"/>
      <c r="TOB4751" s="696"/>
      <c r="TOC4751" s="693"/>
      <c r="TOD4751" s="696"/>
      <c r="TOE4751" s="693"/>
      <c r="TOF4751" s="696"/>
      <c r="TOG4751" s="693"/>
      <c r="TOH4751" s="696"/>
      <c r="TOI4751" s="693"/>
      <c r="TOJ4751" s="696"/>
      <c r="TOK4751" s="693"/>
      <c r="TOL4751" s="696"/>
      <c r="TOM4751" s="693"/>
      <c r="TON4751" s="696"/>
      <c r="TOO4751" s="693"/>
      <c r="TOP4751" s="696"/>
      <c r="TOQ4751" s="693"/>
      <c r="TOR4751" s="696"/>
      <c r="TOS4751" s="693"/>
      <c r="TOT4751" s="696"/>
      <c r="TOU4751" s="693"/>
      <c r="TOV4751" s="696"/>
      <c r="TOW4751" s="693"/>
      <c r="TOX4751" s="696"/>
      <c r="TOY4751" s="693"/>
      <c r="TOZ4751" s="696"/>
      <c r="TPA4751" s="693"/>
      <c r="TPB4751" s="696"/>
      <c r="TPC4751" s="693"/>
      <c r="TPD4751" s="696"/>
      <c r="TPE4751" s="693"/>
      <c r="TPF4751" s="696"/>
      <c r="TPG4751" s="693"/>
      <c r="TPH4751" s="696"/>
      <c r="TPI4751" s="693"/>
      <c r="TPJ4751" s="696"/>
      <c r="TPK4751" s="693"/>
      <c r="TPL4751" s="696"/>
      <c r="TPM4751" s="693"/>
      <c r="TPN4751" s="696"/>
      <c r="TPO4751" s="693"/>
      <c r="TPP4751" s="696"/>
      <c r="TPQ4751" s="693"/>
      <c r="TPR4751" s="696"/>
      <c r="TPS4751" s="693"/>
      <c r="TPT4751" s="696"/>
      <c r="TPU4751" s="693"/>
      <c r="TPV4751" s="696"/>
      <c r="TPW4751" s="693"/>
      <c r="TPX4751" s="696"/>
      <c r="TPY4751" s="693"/>
      <c r="TPZ4751" s="696"/>
      <c r="TQA4751" s="693"/>
      <c r="TQB4751" s="696"/>
      <c r="TQC4751" s="693"/>
      <c r="TQD4751" s="696"/>
      <c r="TQE4751" s="693"/>
      <c r="TQF4751" s="696"/>
      <c r="TQG4751" s="693"/>
      <c r="TQH4751" s="696"/>
      <c r="TQI4751" s="693"/>
      <c r="TQJ4751" s="696"/>
      <c r="TQK4751" s="693"/>
      <c r="TQL4751" s="696"/>
      <c r="TQM4751" s="693"/>
      <c r="TQN4751" s="696"/>
      <c r="TQO4751" s="693"/>
      <c r="TQP4751" s="696"/>
      <c r="TQQ4751" s="693"/>
      <c r="TQR4751" s="696"/>
      <c r="TQS4751" s="693"/>
      <c r="TQT4751" s="696"/>
      <c r="TQU4751" s="693"/>
      <c r="TQV4751" s="696"/>
      <c r="TQW4751" s="693"/>
      <c r="TQX4751" s="696"/>
      <c r="TQY4751" s="693"/>
      <c r="TQZ4751" s="696"/>
      <c r="TRA4751" s="693"/>
      <c r="TRB4751" s="696"/>
      <c r="TRC4751" s="693"/>
      <c r="TRD4751" s="696"/>
      <c r="TRE4751" s="693"/>
      <c r="TRF4751" s="696"/>
      <c r="TRG4751" s="693"/>
      <c r="TRH4751" s="696"/>
      <c r="TRI4751" s="693"/>
      <c r="TRJ4751" s="696"/>
      <c r="TRK4751" s="693"/>
      <c r="TRL4751" s="696"/>
      <c r="TRM4751" s="693"/>
      <c r="TRN4751" s="696"/>
      <c r="TRO4751" s="693"/>
      <c r="TRP4751" s="696"/>
      <c r="TRQ4751" s="693"/>
      <c r="TRR4751" s="696"/>
      <c r="TRS4751" s="693"/>
      <c r="TRT4751" s="696"/>
      <c r="TRU4751" s="693"/>
      <c r="TRV4751" s="696"/>
      <c r="TRW4751" s="693"/>
      <c r="TRX4751" s="696"/>
      <c r="TRY4751" s="693"/>
      <c r="TRZ4751" s="696"/>
      <c r="TSA4751" s="693"/>
      <c r="TSB4751" s="696"/>
      <c r="TSC4751" s="693"/>
      <c r="TSD4751" s="696"/>
      <c r="TSE4751" s="693"/>
      <c r="TSF4751" s="696"/>
      <c r="TSG4751" s="693"/>
      <c r="TSH4751" s="696"/>
      <c r="TSI4751" s="693"/>
      <c r="TSJ4751" s="696"/>
      <c r="TSK4751" s="693"/>
      <c r="TSL4751" s="696"/>
      <c r="TSM4751" s="693"/>
      <c r="TSN4751" s="696"/>
      <c r="TSO4751" s="693"/>
      <c r="TSP4751" s="696"/>
      <c r="TSQ4751" s="693"/>
      <c r="TSR4751" s="696"/>
      <c r="TSS4751" s="693"/>
      <c r="TST4751" s="696"/>
      <c r="TSU4751" s="693"/>
      <c r="TSV4751" s="696"/>
      <c r="TSW4751" s="693"/>
      <c r="TSX4751" s="696"/>
      <c r="TSY4751" s="693"/>
      <c r="TSZ4751" s="696"/>
      <c r="TTA4751" s="693"/>
      <c r="TTB4751" s="696"/>
      <c r="TTC4751" s="693"/>
      <c r="TTD4751" s="696"/>
      <c r="TTE4751" s="693"/>
      <c r="TTF4751" s="696"/>
      <c r="TTG4751" s="693"/>
      <c r="TTH4751" s="696"/>
      <c r="TTI4751" s="693"/>
      <c r="TTJ4751" s="696"/>
      <c r="TTK4751" s="693"/>
      <c r="TTL4751" s="696"/>
      <c r="TTM4751" s="693"/>
      <c r="TTN4751" s="696"/>
      <c r="TTO4751" s="693"/>
      <c r="TTP4751" s="696"/>
      <c r="TTQ4751" s="693"/>
      <c r="TTR4751" s="696"/>
      <c r="TTS4751" s="693"/>
      <c r="TTT4751" s="696"/>
      <c r="TTU4751" s="693"/>
      <c r="TTV4751" s="696"/>
      <c r="TTW4751" s="693"/>
      <c r="TTX4751" s="696"/>
      <c r="TTY4751" s="693"/>
      <c r="TTZ4751" s="696"/>
      <c r="TUA4751" s="693"/>
      <c r="TUB4751" s="696"/>
      <c r="TUC4751" s="693"/>
      <c r="TUD4751" s="696"/>
      <c r="TUE4751" s="693"/>
      <c r="TUF4751" s="696"/>
      <c r="TUG4751" s="693"/>
      <c r="TUH4751" s="696"/>
      <c r="TUI4751" s="693"/>
      <c r="TUJ4751" s="696"/>
      <c r="TUK4751" s="693"/>
      <c r="TUL4751" s="696"/>
      <c r="TUM4751" s="693"/>
      <c r="TUN4751" s="696"/>
      <c r="TUO4751" s="693"/>
      <c r="TUP4751" s="696"/>
      <c r="TUQ4751" s="693"/>
      <c r="TUR4751" s="696"/>
      <c r="TUS4751" s="693"/>
      <c r="TUT4751" s="696"/>
      <c r="TUU4751" s="693"/>
      <c r="TUV4751" s="696"/>
      <c r="TUW4751" s="693"/>
      <c r="TUX4751" s="696"/>
      <c r="TUY4751" s="693"/>
      <c r="TUZ4751" s="696"/>
      <c r="TVA4751" s="693"/>
      <c r="TVB4751" s="696"/>
      <c r="TVC4751" s="693"/>
      <c r="TVD4751" s="696"/>
      <c r="TVE4751" s="693"/>
      <c r="TVF4751" s="696"/>
      <c r="TVG4751" s="693"/>
      <c r="TVH4751" s="696"/>
      <c r="TVI4751" s="693"/>
      <c r="TVJ4751" s="696"/>
      <c r="TVK4751" s="693"/>
      <c r="TVL4751" s="696"/>
      <c r="TVM4751" s="693"/>
      <c r="TVN4751" s="696"/>
      <c r="TVO4751" s="693"/>
      <c r="TVP4751" s="696"/>
      <c r="TVQ4751" s="693"/>
      <c r="TVR4751" s="696"/>
      <c r="TVS4751" s="693"/>
      <c r="TVT4751" s="696"/>
      <c r="TVU4751" s="693"/>
      <c r="TVV4751" s="696"/>
      <c r="TVW4751" s="693"/>
      <c r="TVX4751" s="696"/>
      <c r="TVY4751" s="693"/>
      <c r="TVZ4751" s="696"/>
      <c r="TWA4751" s="693"/>
      <c r="TWB4751" s="696"/>
      <c r="TWC4751" s="693"/>
      <c r="TWD4751" s="696"/>
      <c r="TWE4751" s="693"/>
      <c r="TWF4751" s="696"/>
      <c r="TWG4751" s="693"/>
      <c r="TWH4751" s="696"/>
      <c r="TWI4751" s="693"/>
      <c r="TWJ4751" s="696"/>
      <c r="TWK4751" s="693"/>
      <c r="TWL4751" s="696"/>
      <c r="TWM4751" s="693"/>
      <c r="TWN4751" s="696"/>
      <c r="TWO4751" s="693"/>
      <c r="TWP4751" s="696"/>
      <c r="TWQ4751" s="693"/>
      <c r="TWR4751" s="696"/>
      <c r="TWS4751" s="693"/>
      <c r="TWT4751" s="696"/>
      <c r="TWU4751" s="693"/>
      <c r="TWV4751" s="696"/>
      <c r="TWW4751" s="693"/>
      <c r="TWX4751" s="696"/>
      <c r="TWY4751" s="693"/>
      <c r="TWZ4751" s="696"/>
      <c r="TXA4751" s="693"/>
      <c r="TXB4751" s="696"/>
      <c r="TXC4751" s="693"/>
      <c r="TXD4751" s="696"/>
      <c r="TXE4751" s="693"/>
      <c r="TXF4751" s="696"/>
      <c r="TXG4751" s="693"/>
      <c r="TXH4751" s="696"/>
      <c r="TXI4751" s="693"/>
      <c r="TXJ4751" s="696"/>
      <c r="TXK4751" s="693"/>
      <c r="TXL4751" s="696"/>
      <c r="TXM4751" s="693"/>
      <c r="TXN4751" s="696"/>
      <c r="TXO4751" s="693"/>
      <c r="TXP4751" s="696"/>
      <c r="TXQ4751" s="693"/>
      <c r="TXR4751" s="696"/>
      <c r="TXS4751" s="693"/>
      <c r="TXT4751" s="696"/>
      <c r="TXU4751" s="693"/>
      <c r="TXV4751" s="696"/>
      <c r="TXW4751" s="693"/>
      <c r="TXX4751" s="696"/>
      <c r="TXY4751" s="693"/>
      <c r="TXZ4751" s="696"/>
      <c r="TYA4751" s="693"/>
      <c r="TYB4751" s="696"/>
      <c r="TYC4751" s="693"/>
      <c r="TYD4751" s="696"/>
      <c r="TYE4751" s="693"/>
      <c r="TYF4751" s="696"/>
      <c r="TYG4751" s="693"/>
      <c r="TYH4751" s="696"/>
      <c r="TYI4751" s="693"/>
      <c r="TYJ4751" s="696"/>
      <c r="TYK4751" s="693"/>
      <c r="TYL4751" s="696"/>
      <c r="TYM4751" s="693"/>
      <c r="TYN4751" s="696"/>
      <c r="TYO4751" s="693"/>
      <c r="TYP4751" s="696"/>
      <c r="TYQ4751" s="693"/>
      <c r="TYR4751" s="696"/>
      <c r="TYS4751" s="693"/>
      <c r="TYT4751" s="696"/>
      <c r="TYU4751" s="693"/>
      <c r="TYV4751" s="696"/>
      <c r="TYW4751" s="693"/>
      <c r="TYX4751" s="696"/>
      <c r="TYY4751" s="693"/>
      <c r="TYZ4751" s="696"/>
      <c r="TZA4751" s="693"/>
      <c r="TZB4751" s="696"/>
      <c r="TZC4751" s="693"/>
      <c r="TZD4751" s="696"/>
      <c r="TZE4751" s="693"/>
      <c r="TZF4751" s="696"/>
      <c r="TZG4751" s="693"/>
      <c r="TZH4751" s="696"/>
      <c r="TZI4751" s="693"/>
      <c r="TZJ4751" s="696"/>
      <c r="TZK4751" s="693"/>
      <c r="TZL4751" s="696"/>
      <c r="TZM4751" s="693"/>
      <c r="TZN4751" s="696"/>
      <c r="TZO4751" s="693"/>
      <c r="TZP4751" s="696"/>
      <c r="TZQ4751" s="693"/>
      <c r="TZR4751" s="696"/>
      <c r="TZS4751" s="693"/>
      <c r="TZT4751" s="696"/>
      <c r="TZU4751" s="693"/>
      <c r="TZV4751" s="696"/>
      <c r="TZW4751" s="693"/>
      <c r="TZX4751" s="696"/>
      <c r="TZY4751" s="693"/>
      <c r="TZZ4751" s="696"/>
      <c r="UAA4751" s="693"/>
      <c r="UAB4751" s="696"/>
      <c r="UAC4751" s="693"/>
      <c r="UAD4751" s="696"/>
      <c r="UAE4751" s="693"/>
      <c r="UAF4751" s="696"/>
      <c r="UAG4751" s="693"/>
      <c r="UAH4751" s="696"/>
      <c r="UAI4751" s="693"/>
      <c r="UAJ4751" s="696"/>
      <c r="UAK4751" s="693"/>
      <c r="UAL4751" s="696"/>
      <c r="UAM4751" s="693"/>
      <c r="UAN4751" s="696"/>
      <c r="UAO4751" s="693"/>
      <c r="UAP4751" s="696"/>
      <c r="UAQ4751" s="693"/>
      <c r="UAR4751" s="696"/>
      <c r="UAS4751" s="693"/>
      <c r="UAT4751" s="696"/>
      <c r="UAU4751" s="693"/>
      <c r="UAV4751" s="696"/>
      <c r="UAW4751" s="693"/>
      <c r="UAX4751" s="696"/>
      <c r="UAY4751" s="693"/>
      <c r="UAZ4751" s="696"/>
      <c r="UBA4751" s="693"/>
      <c r="UBB4751" s="696"/>
      <c r="UBC4751" s="693"/>
      <c r="UBD4751" s="696"/>
      <c r="UBE4751" s="693"/>
      <c r="UBF4751" s="696"/>
      <c r="UBG4751" s="693"/>
      <c r="UBH4751" s="696"/>
      <c r="UBI4751" s="693"/>
      <c r="UBJ4751" s="696"/>
      <c r="UBK4751" s="693"/>
      <c r="UBL4751" s="696"/>
      <c r="UBM4751" s="693"/>
      <c r="UBN4751" s="696"/>
      <c r="UBO4751" s="693"/>
      <c r="UBP4751" s="696"/>
      <c r="UBQ4751" s="693"/>
      <c r="UBR4751" s="696"/>
      <c r="UBS4751" s="693"/>
      <c r="UBT4751" s="696"/>
      <c r="UBU4751" s="693"/>
      <c r="UBV4751" s="696"/>
      <c r="UBW4751" s="693"/>
      <c r="UBX4751" s="696"/>
      <c r="UBY4751" s="693"/>
      <c r="UBZ4751" s="696"/>
      <c r="UCA4751" s="693"/>
      <c r="UCB4751" s="696"/>
      <c r="UCC4751" s="693"/>
      <c r="UCD4751" s="696"/>
      <c r="UCE4751" s="693"/>
      <c r="UCF4751" s="696"/>
      <c r="UCG4751" s="693"/>
      <c r="UCH4751" s="696"/>
      <c r="UCI4751" s="693"/>
      <c r="UCJ4751" s="696"/>
      <c r="UCK4751" s="693"/>
      <c r="UCL4751" s="696"/>
      <c r="UCM4751" s="693"/>
      <c r="UCN4751" s="696"/>
      <c r="UCO4751" s="693"/>
      <c r="UCP4751" s="696"/>
      <c r="UCQ4751" s="693"/>
      <c r="UCR4751" s="696"/>
      <c r="UCS4751" s="693"/>
      <c r="UCT4751" s="696"/>
      <c r="UCU4751" s="693"/>
      <c r="UCV4751" s="696"/>
      <c r="UCW4751" s="693"/>
      <c r="UCX4751" s="696"/>
      <c r="UCY4751" s="693"/>
      <c r="UCZ4751" s="696"/>
      <c r="UDA4751" s="693"/>
      <c r="UDB4751" s="696"/>
      <c r="UDC4751" s="693"/>
      <c r="UDD4751" s="696"/>
      <c r="UDE4751" s="693"/>
      <c r="UDF4751" s="696"/>
      <c r="UDG4751" s="693"/>
      <c r="UDH4751" s="696"/>
      <c r="UDI4751" s="693"/>
      <c r="UDJ4751" s="696"/>
      <c r="UDK4751" s="693"/>
      <c r="UDL4751" s="696"/>
      <c r="UDM4751" s="693"/>
      <c r="UDN4751" s="696"/>
      <c r="UDO4751" s="693"/>
      <c r="UDP4751" s="696"/>
      <c r="UDQ4751" s="693"/>
      <c r="UDR4751" s="696"/>
      <c r="UDS4751" s="693"/>
      <c r="UDT4751" s="696"/>
      <c r="UDU4751" s="693"/>
      <c r="UDV4751" s="696"/>
      <c r="UDW4751" s="693"/>
      <c r="UDX4751" s="696"/>
      <c r="UDY4751" s="693"/>
      <c r="UDZ4751" s="696"/>
      <c r="UEA4751" s="693"/>
      <c r="UEB4751" s="696"/>
      <c r="UEC4751" s="693"/>
      <c r="UED4751" s="696"/>
      <c r="UEE4751" s="693"/>
      <c r="UEF4751" s="696"/>
      <c r="UEG4751" s="693"/>
      <c r="UEH4751" s="696"/>
      <c r="UEI4751" s="693"/>
      <c r="UEJ4751" s="696"/>
      <c r="UEK4751" s="693"/>
      <c r="UEL4751" s="696"/>
      <c r="UEM4751" s="693"/>
      <c r="UEN4751" s="696"/>
      <c r="UEO4751" s="693"/>
      <c r="UEP4751" s="696"/>
      <c r="UEQ4751" s="693"/>
      <c r="UER4751" s="696"/>
      <c r="UES4751" s="693"/>
      <c r="UET4751" s="696"/>
      <c r="UEU4751" s="693"/>
      <c r="UEV4751" s="696"/>
      <c r="UEW4751" s="693"/>
      <c r="UEX4751" s="696"/>
      <c r="UEY4751" s="693"/>
      <c r="UEZ4751" s="696"/>
      <c r="UFA4751" s="693"/>
      <c r="UFB4751" s="696"/>
      <c r="UFC4751" s="693"/>
      <c r="UFD4751" s="696"/>
      <c r="UFE4751" s="693"/>
      <c r="UFF4751" s="696"/>
      <c r="UFG4751" s="693"/>
      <c r="UFH4751" s="696"/>
      <c r="UFI4751" s="693"/>
      <c r="UFJ4751" s="696"/>
      <c r="UFK4751" s="693"/>
      <c r="UFL4751" s="696"/>
      <c r="UFM4751" s="693"/>
      <c r="UFN4751" s="696"/>
      <c r="UFO4751" s="693"/>
      <c r="UFP4751" s="696"/>
      <c r="UFQ4751" s="693"/>
      <c r="UFR4751" s="696"/>
      <c r="UFS4751" s="693"/>
      <c r="UFT4751" s="696"/>
      <c r="UFU4751" s="693"/>
      <c r="UFV4751" s="696"/>
      <c r="UFW4751" s="693"/>
      <c r="UFX4751" s="696"/>
      <c r="UFY4751" s="693"/>
      <c r="UFZ4751" s="696"/>
      <c r="UGA4751" s="693"/>
      <c r="UGB4751" s="696"/>
      <c r="UGC4751" s="693"/>
      <c r="UGD4751" s="696"/>
      <c r="UGE4751" s="693"/>
      <c r="UGF4751" s="696"/>
      <c r="UGG4751" s="693"/>
      <c r="UGH4751" s="696"/>
      <c r="UGI4751" s="693"/>
      <c r="UGJ4751" s="696"/>
      <c r="UGK4751" s="693"/>
      <c r="UGL4751" s="696"/>
      <c r="UGM4751" s="693"/>
      <c r="UGN4751" s="696"/>
      <c r="UGO4751" s="693"/>
      <c r="UGP4751" s="696"/>
      <c r="UGQ4751" s="693"/>
      <c r="UGR4751" s="696"/>
      <c r="UGS4751" s="693"/>
      <c r="UGT4751" s="696"/>
      <c r="UGU4751" s="693"/>
      <c r="UGV4751" s="696"/>
      <c r="UGW4751" s="693"/>
      <c r="UGX4751" s="696"/>
      <c r="UGY4751" s="693"/>
      <c r="UGZ4751" s="696"/>
      <c r="UHA4751" s="693"/>
      <c r="UHB4751" s="696"/>
      <c r="UHC4751" s="693"/>
      <c r="UHD4751" s="696"/>
      <c r="UHE4751" s="693"/>
      <c r="UHF4751" s="696"/>
      <c r="UHG4751" s="693"/>
      <c r="UHH4751" s="696"/>
      <c r="UHI4751" s="693"/>
      <c r="UHJ4751" s="696"/>
      <c r="UHK4751" s="693"/>
      <c r="UHL4751" s="696"/>
      <c r="UHM4751" s="693"/>
      <c r="UHN4751" s="696"/>
      <c r="UHO4751" s="693"/>
      <c r="UHP4751" s="696"/>
      <c r="UHQ4751" s="693"/>
      <c r="UHR4751" s="696"/>
      <c r="UHS4751" s="693"/>
      <c r="UHT4751" s="696"/>
      <c r="UHU4751" s="693"/>
      <c r="UHV4751" s="696"/>
      <c r="UHW4751" s="693"/>
      <c r="UHX4751" s="696"/>
      <c r="UHY4751" s="693"/>
      <c r="UHZ4751" s="696"/>
      <c r="UIA4751" s="693"/>
      <c r="UIB4751" s="696"/>
      <c r="UIC4751" s="693"/>
      <c r="UID4751" s="696"/>
      <c r="UIE4751" s="693"/>
      <c r="UIF4751" s="696"/>
      <c r="UIG4751" s="693"/>
      <c r="UIH4751" s="696"/>
      <c r="UII4751" s="693"/>
      <c r="UIJ4751" s="696"/>
      <c r="UIK4751" s="693"/>
      <c r="UIL4751" s="696"/>
      <c r="UIM4751" s="693"/>
      <c r="UIN4751" s="696"/>
      <c r="UIO4751" s="693"/>
      <c r="UIP4751" s="696"/>
      <c r="UIQ4751" s="693"/>
      <c r="UIR4751" s="696"/>
      <c r="UIS4751" s="693"/>
      <c r="UIT4751" s="696"/>
      <c r="UIU4751" s="693"/>
      <c r="UIV4751" s="696"/>
      <c r="UIW4751" s="693"/>
      <c r="UIX4751" s="696"/>
      <c r="UIY4751" s="693"/>
      <c r="UIZ4751" s="696"/>
      <c r="UJA4751" s="693"/>
      <c r="UJB4751" s="696"/>
      <c r="UJC4751" s="693"/>
      <c r="UJD4751" s="696"/>
      <c r="UJE4751" s="693"/>
      <c r="UJF4751" s="696"/>
      <c r="UJG4751" s="693"/>
      <c r="UJH4751" s="696"/>
      <c r="UJI4751" s="693"/>
      <c r="UJJ4751" s="696"/>
      <c r="UJK4751" s="693"/>
      <c r="UJL4751" s="696"/>
      <c r="UJM4751" s="693"/>
      <c r="UJN4751" s="696"/>
      <c r="UJO4751" s="693"/>
      <c r="UJP4751" s="696"/>
      <c r="UJQ4751" s="693"/>
      <c r="UJR4751" s="696"/>
      <c r="UJS4751" s="693"/>
      <c r="UJT4751" s="696"/>
      <c r="UJU4751" s="693"/>
      <c r="UJV4751" s="696"/>
      <c r="UJW4751" s="693"/>
      <c r="UJX4751" s="696"/>
      <c r="UJY4751" s="693"/>
      <c r="UJZ4751" s="696"/>
      <c r="UKA4751" s="693"/>
      <c r="UKB4751" s="696"/>
      <c r="UKC4751" s="693"/>
      <c r="UKD4751" s="696"/>
      <c r="UKE4751" s="693"/>
      <c r="UKF4751" s="696"/>
      <c r="UKG4751" s="693"/>
      <c r="UKH4751" s="696"/>
      <c r="UKI4751" s="693"/>
      <c r="UKJ4751" s="696"/>
      <c r="UKK4751" s="693"/>
      <c r="UKL4751" s="696"/>
      <c r="UKM4751" s="693"/>
      <c r="UKN4751" s="696"/>
      <c r="UKO4751" s="693"/>
      <c r="UKP4751" s="696"/>
      <c r="UKQ4751" s="693"/>
      <c r="UKR4751" s="696"/>
      <c r="UKS4751" s="693"/>
      <c r="UKT4751" s="696"/>
      <c r="UKU4751" s="693"/>
      <c r="UKV4751" s="696"/>
      <c r="UKW4751" s="693"/>
      <c r="UKX4751" s="696"/>
      <c r="UKY4751" s="693"/>
      <c r="UKZ4751" s="696"/>
      <c r="ULA4751" s="693"/>
      <c r="ULB4751" s="696"/>
      <c r="ULC4751" s="693"/>
      <c r="ULD4751" s="696"/>
      <c r="ULE4751" s="693"/>
      <c r="ULF4751" s="696"/>
      <c r="ULG4751" s="693"/>
      <c r="ULH4751" s="696"/>
      <c r="ULI4751" s="693"/>
      <c r="ULJ4751" s="696"/>
      <c r="ULK4751" s="693"/>
      <c r="ULL4751" s="696"/>
      <c r="ULM4751" s="693"/>
      <c r="ULN4751" s="696"/>
      <c r="ULO4751" s="693"/>
      <c r="ULP4751" s="696"/>
      <c r="ULQ4751" s="693"/>
      <c r="ULR4751" s="696"/>
      <c r="ULS4751" s="693"/>
      <c r="ULT4751" s="696"/>
      <c r="ULU4751" s="693"/>
      <c r="ULV4751" s="696"/>
      <c r="ULW4751" s="693"/>
      <c r="ULX4751" s="696"/>
      <c r="ULY4751" s="693"/>
      <c r="ULZ4751" s="696"/>
      <c r="UMA4751" s="693"/>
      <c r="UMB4751" s="696"/>
      <c r="UMC4751" s="693"/>
      <c r="UMD4751" s="696"/>
      <c r="UME4751" s="693"/>
      <c r="UMF4751" s="696"/>
      <c r="UMG4751" s="693"/>
      <c r="UMH4751" s="696"/>
      <c r="UMI4751" s="693"/>
      <c r="UMJ4751" s="696"/>
      <c r="UMK4751" s="693"/>
      <c r="UML4751" s="696"/>
      <c r="UMM4751" s="693"/>
      <c r="UMN4751" s="696"/>
      <c r="UMO4751" s="693"/>
      <c r="UMP4751" s="696"/>
      <c r="UMQ4751" s="693"/>
      <c r="UMR4751" s="696"/>
      <c r="UMS4751" s="693"/>
      <c r="UMT4751" s="696"/>
      <c r="UMU4751" s="693"/>
      <c r="UMV4751" s="696"/>
      <c r="UMW4751" s="693"/>
      <c r="UMX4751" s="696"/>
      <c r="UMY4751" s="693"/>
      <c r="UMZ4751" s="696"/>
      <c r="UNA4751" s="693"/>
      <c r="UNB4751" s="696"/>
      <c r="UNC4751" s="693"/>
      <c r="UND4751" s="696"/>
      <c r="UNE4751" s="693"/>
      <c r="UNF4751" s="696"/>
      <c r="UNG4751" s="693"/>
      <c r="UNH4751" s="696"/>
      <c r="UNI4751" s="693"/>
      <c r="UNJ4751" s="696"/>
      <c r="UNK4751" s="693"/>
      <c r="UNL4751" s="696"/>
      <c r="UNM4751" s="693"/>
      <c r="UNN4751" s="696"/>
      <c r="UNO4751" s="693"/>
      <c r="UNP4751" s="696"/>
      <c r="UNQ4751" s="693"/>
      <c r="UNR4751" s="696"/>
      <c r="UNS4751" s="693"/>
      <c r="UNT4751" s="696"/>
      <c r="UNU4751" s="693"/>
      <c r="UNV4751" s="696"/>
      <c r="UNW4751" s="693"/>
      <c r="UNX4751" s="696"/>
      <c r="UNY4751" s="693"/>
      <c r="UNZ4751" s="696"/>
      <c r="UOA4751" s="693"/>
      <c r="UOB4751" s="696"/>
      <c r="UOC4751" s="693"/>
      <c r="UOD4751" s="696"/>
      <c r="UOE4751" s="693"/>
      <c r="UOF4751" s="696"/>
      <c r="UOG4751" s="693"/>
      <c r="UOH4751" s="696"/>
      <c r="UOI4751" s="693"/>
      <c r="UOJ4751" s="696"/>
      <c r="UOK4751" s="693"/>
      <c r="UOL4751" s="696"/>
      <c r="UOM4751" s="693"/>
      <c r="UON4751" s="696"/>
      <c r="UOO4751" s="693"/>
      <c r="UOP4751" s="696"/>
      <c r="UOQ4751" s="693"/>
      <c r="UOR4751" s="696"/>
      <c r="UOS4751" s="693"/>
      <c r="UOT4751" s="696"/>
      <c r="UOU4751" s="693"/>
      <c r="UOV4751" s="696"/>
      <c r="UOW4751" s="693"/>
      <c r="UOX4751" s="696"/>
      <c r="UOY4751" s="693"/>
      <c r="UOZ4751" s="696"/>
      <c r="UPA4751" s="693"/>
      <c r="UPB4751" s="696"/>
      <c r="UPC4751" s="693"/>
      <c r="UPD4751" s="696"/>
      <c r="UPE4751" s="693"/>
      <c r="UPF4751" s="696"/>
      <c r="UPG4751" s="693"/>
      <c r="UPH4751" s="696"/>
      <c r="UPI4751" s="693"/>
      <c r="UPJ4751" s="696"/>
      <c r="UPK4751" s="693"/>
      <c r="UPL4751" s="696"/>
      <c r="UPM4751" s="693"/>
      <c r="UPN4751" s="696"/>
      <c r="UPO4751" s="693"/>
      <c r="UPP4751" s="696"/>
      <c r="UPQ4751" s="693"/>
      <c r="UPR4751" s="696"/>
      <c r="UPS4751" s="693"/>
      <c r="UPT4751" s="696"/>
      <c r="UPU4751" s="693"/>
      <c r="UPV4751" s="696"/>
      <c r="UPW4751" s="693"/>
      <c r="UPX4751" s="696"/>
      <c r="UPY4751" s="693"/>
      <c r="UPZ4751" s="696"/>
      <c r="UQA4751" s="693"/>
      <c r="UQB4751" s="696"/>
      <c r="UQC4751" s="693"/>
      <c r="UQD4751" s="696"/>
      <c r="UQE4751" s="693"/>
      <c r="UQF4751" s="696"/>
      <c r="UQG4751" s="693"/>
      <c r="UQH4751" s="696"/>
      <c r="UQI4751" s="693"/>
      <c r="UQJ4751" s="696"/>
      <c r="UQK4751" s="693"/>
      <c r="UQL4751" s="696"/>
      <c r="UQM4751" s="693"/>
      <c r="UQN4751" s="696"/>
      <c r="UQO4751" s="693"/>
      <c r="UQP4751" s="696"/>
      <c r="UQQ4751" s="693"/>
      <c r="UQR4751" s="696"/>
      <c r="UQS4751" s="693"/>
      <c r="UQT4751" s="696"/>
      <c r="UQU4751" s="693"/>
      <c r="UQV4751" s="696"/>
      <c r="UQW4751" s="693"/>
      <c r="UQX4751" s="696"/>
      <c r="UQY4751" s="693"/>
      <c r="UQZ4751" s="696"/>
      <c r="URA4751" s="693"/>
      <c r="URB4751" s="696"/>
      <c r="URC4751" s="693"/>
      <c r="URD4751" s="696"/>
      <c r="URE4751" s="693"/>
      <c r="URF4751" s="696"/>
      <c r="URG4751" s="693"/>
      <c r="URH4751" s="696"/>
      <c r="URI4751" s="693"/>
      <c r="URJ4751" s="696"/>
      <c r="URK4751" s="693"/>
      <c r="URL4751" s="696"/>
      <c r="URM4751" s="693"/>
      <c r="URN4751" s="696"/>
      <c r="URO4751" s="693"/>
      <c r="URP4751" s="696"/>
      <c r="URQ4751" s="693"/>
      <c r="URR4751" s="696"/>
      <c r="URS4751" s="693"/>
      <c r="URT4751" s="696"/>
      <c r="URU4751" s="693"/>
      <c r="URV4751" s="696"/>
      <c r="URW4751" s="693"/>
      <c r="URX4751" s="696"/>
      <c r="URY4751" s="693"/>
      <c r="URZ4751" s="696"/>
      <c r="USA4751" s="693"/>
      <c r="USB4751" s="696"/>
      <c r="USC4751" s="693"/>
      <c r="USD4751" s="696"/>
      <c r="USE4751" s="693"/>
      <c r="USF4751" s="696"/>
      <c r="USG4751" s="693"/>
      <c r="USH4751" s="696"/>
      <c r="USI4751" s="693"/>
      <c r="USJ4751" s="696"/>
      <c r="USK4751" s="693"/>
      <c r="USL4751" s="696"/>
      <c r="USM4751" s="693"/>
      <c r="USN4751" s="696"/>
      <c r="USO4751" s="693"/>
      <c r="USP4751" s="696"/>
      <c r="USQ4751" s="693"/>
      <c r="USR4751" s="696"/>
      <c r="USS4751" s="693"/>
      <c r="UST4751" s="696"/>
      <c r="USU4751" s="693"/>
      <c r="USV4751" s="696"/>
      <c r="USW4751" s="693"/>
      <c r="USX4751" s="696"/>
      <c r="USY4751" s="693"/>
      <c r="USZ4751" s="696"/>
      <c r="UTA4751" s="693"/>
      <c r="UTB4751" s="696"/>
      <c r="UTC4751" s="693"/>
      <c r="UTD4751" s="696"/>
      <c r="UTE4751" s="693"/>
      <c r="UTF4751" s="696"/>
      <c r="UTG4751" s="693"/>
      <c r="UTH4751" s="696"/>
      <c r="UTI4751" s="693"/>
      <c r="UTJ4751" s="696"/>
      <c r="UTK4751" s="693"/>
      <c r="UTL4751" s="696"/>
      <c r="UTM4751" s="693"/>
      <c r="UTN4751" s="696"/>
      <c r="UTO4751" s="693"/>
      <c r="UTP4751" s="696"/>
      <c r="UTQ4751" s="693"/>
      <c r="UTR4751" s="696"/>
      <c r="UTS4751" s="693"/>
      <c r="UTT4751" s="696"/>
      <c r="UTU4751" s="693"/>
      <c r="UTV4751" s="696"/>
      <c r="UTW4751" s="693"/>
      <c r="UTX4751" s="696"/>
      <c r="UTY4751" s="693"/>
      <c r="UTZ4751" s="696"/>
      <c r="UUA4751" s="693"/>
      <c r="UUB4751" s="696"/>
      <c r="UUC4751" s="693"/>
      <c r="UUD4751" s="696"/>
      <c r="UUE4751" s="693"/>
      <c r="UUF4751" s="696"/>
      <c r="UUG4751" s="693"/>
      <c r="UUH4751" s="696"/>
      <c r="UUI4751" s="693"/>
      <c r="UUJ4751" s="696"/>
      <c r="UUK4751" s="693"/>
      <c r="UUL4751" s="696"/>
      <c r="UUM4751" s="693"/>
      <c r="UUN4751" s="696"/>
      <c r="UUO4751" s="693"/>
      <c r="UUP4751" s="696"/>
      <c r="UUQ4751" s="693"/>
      <c r="UUR4751" s="696"/>
      <c r="UUS4751" s="693"/>
      <c r="UUT4751" s="696"/>
      <c r="UUU4751" s="693"/>
      <c r="UUV4751" s="696"/>
      <c r="UUW4751" s="693"/>
      <c r="UUX4751" s="696"/>
      <c r="UUY4751" s="693"/>
      <c r="UUZ4751" s="696"/>
      <c r="UVA4751" s="693"/>
      <c r="UVB4751" s="696"/>
      <c r="UVC4751" s="693"/>
      <c r="UVD4751" s="696"/>
      <c r="UVE4751" s="693"/>
      <c r="UVF4751" s="696"/>
      <c r="UVG4751" s="693"/>
      <c r="UVH4751" s="696"/>
      <c r="UVI4751" s="693"/>
      <c r="UVJ4751" s="696"/>
      <c r="UVK4751" s="693"/>
      <c r="UVL4751" s="696"/>
      <c r="UVM4751" s="693"/>
      <c r="UVN4751" s="696"/>
      <c r="UVO4751" s="693"/>
      <c r="UVP4751" s="696"/>
      <c r="UVQ4751" s="693"/>
      <c r="UVR4751" s="696"/>
      <c r="UVS4751" s="693"/>
      <c r="UVT4751" s="696"/>
      <c r="UVU4751" s="693"/>
      <c r="UVV4751" s="696"/>
      <c r="UVW4751" s="693"/>
      <c r="UVX4751" s="696"/>
      <c r="UVY4751" s="693"/>
      <c r="UVZ4751" s="696"/>
      <c r="UWA4751" s="693"/>
      <c r="UWB4751" s="696"/>
      <c r="UWC4751" s="693"/>
      <c r="UWD4751" s="696"/>
      <c r="UWE4751" s="693"/>
      <c r="UWF4751" s="696"/>
      <c r="UWG4751" s="693"/>
      <c r="UWH4751" s="696"/>
      <c r="UWI4751" s="693"/>
      <c r="UWJ4751" s="696"/>
      <c r="UWK4751" s="693"/>
      <c r="UWL4751" s="696"/>
      <c r="UWM4751" s="693"/>
      <c r="UWN4751" s="696"/>
      <c r="UWO4751" s="693"/>
      <c r="UWP4751" s="696"/>
      <c r="UWQ4751" s="693"/>
      <c r="UWR4751" s="696"/>
      <c r="UWS4751" s="693"/>
      <c r="UWT4751" s="696"/>
      <c r="UWU4751" s="693"/>
      <c r="UWV4751" s="696"/>
      <c r="UWW4751" s="693"/>
      <c r="UWX4751" s="696"/>
      <c r="UWY4751" s="693"/>
      <c r="UWZ4751" s="696"/>
      <c r="UXA4751" s="693"/>
      <c r="UXB4751" s="696"/>
      <c r="UXC4751" s="693"/>
      <c r="UXD4751" s="696"/>
      <c r="UXE4751" s="693"/>
      <c r="UXF4751" s="696"/>
      <c r="UXG4751" s="693"/>
      <c r="UXH4751" s="696"/>
      <c r="UXI4751" s="693"/>
      <c r="UXJ4751" s="696"/>
      <c r="UXK4751" s="693"/>
      <c r="UXL4751" s="696"/>
      <c r="UXM4751" s="693"/>
      <c r="UXN4751" s="696"/>
      <c r="UXO4751" s="693"/>
      <c r="UXP4751" s="696"/>
      <c r="UXQ4751" s="693"/>
      <c r="UXR4751" s="696"/>
      <c r="UXS4751" s="693"/>
      <c r="UXT4751" s="696"/>
      <c r="UXU4751" s="693"/>
      <c r="UXV4751" s="696"/>
      <c r="UXW4751" s="693"/>
      <c r="UXX4751" s="696"/>
      <c r="UXY4751" s="693"/>
      <c r="UXZ4751" s="696"/>
      <c r="UYA4751" s="693"/>
      <c r="UYB4751" s="696"/>
      <c r="UYC4751" s="693"/>
      <c r="UYD4751" s="696"/>
      <c r="UYE4751" s="693"/>
      <c r="UYF4751" s="696"/>
      <c r="UYG4751" s="693"/>
      <c r="UYH4751" s="696"/>
      <c r="UYI4751" s="693"/>
      <c r="UYJ4751" s="696"/>
      <c r="UYK4751" s="693"/>
      <c r="UYL4751" s="696"/>
      <c r="UYM4751" s="693"/>
      <c r="UYN4751" s="696"/>
      <c r="UYO4751" s="693"/>
      <c r="UYP4751" s="696"/>
      <c r="UYQ4751" s="693"/>
      <c r="UYR4751" s="696"/>
      <c r="UYS4751" s="693"/>
      <c r="UYT4751" s="696"/>
      <c r="UYU4751" s="693"/>
      <c r="UYV4751" s="696"/>
      <c r="UYW4751" s="693"/>
      <c r="UYX4751" s="696"/>
      <c r="UYY4751" s="693"/>
      <c r="UYZ4751" s="696"/>
      <c r="UZA4751" s="693"/>
      <c r="UZB4751" s="696"/>
      <c r="UZC4751" s="693"/>
      <c r="UZD4751" s="696"/>
      <c r="UZE4751" s="693"/>
      <c r="UZF4751" s="696"/>
      <c r="UZG4751" s="693"/>
      <c r="UZH4751" s="696"/>
      <c r="UZI4751" s="693"/>
      <c r="UZJ4751" s="696"/>
      <c r="UZK4751" s="693"/>
      <c r="UZL4751" s="696"/>
      <c r="UZM4751" s="693"/>
      <c r="UZN4751" s="696"/>
      <c r="UZO4751" s="693"/>
      <c r="UZP4751" s="696"/>
      <c r="UZQ4751" s="693"/>
      <c r="UZR4751" s="696"/>
      <c r="UZS4751" s="693"/>
      <c r="UZT4751" s="696"/>
      <c r="UZU4751" s="693"/>
      <c r="UZV4751" s="696"/>
      <c r="UZW4751" s="693"/>
      <c r="UZX4751" s="696"/>
      <c r="UZY4751" s="693"/>
      <c r="UZZ4751" s="696"/>
      <c r="VAA4751" s="693"/>
      <c r="VAB4751" s="696"/>
      <c r="VAC4751" s="693"/>
      <c r="VAD4751" s="696"/>
      <c r="VAE4751" s="693"/>
      <c r="VAF4751" s="696"/>
      <c r="VAG4751" s="693"/>
      <c r="VAH4751" s="696"/>
      <c r="VAI4751" s="693"/>
      <c r="VAJ4751" s="696"/>
      <c r="VAK4751" s="693"/>
      <c r="VAL4751" s="696"/>
      <c r="VAM4751" s="693"/>
      <c r="VAN4751" s="696"/>
      <c r="VAO4751" s="693"/>
      <c r="VAP4751" s="696"/>
      <c r="VAQ4751" s="693"/>
      <c r="VAR4751" s="696"/>
      <c r="VAS4751" s="693"/>
      <c r="VAT4751" s="696"/>
      <c r="VAU4751" s="693"/>
      <c r="VAV4751" s="696"/>
      <c r="VAW4751" s="693"/>
      <c r="VAX4751" s="696"/>
      <c r="VAY4751" s="693"/>
      <c r="VAZ4751" s="696"/>
      <c r="VBA4751" s="693"/>
      <c r="VBB4751" s="696"/>
      <c r="VBC4751" s="693"/>
      <c r="VBD4751" s="696"/>
      <c r="VBE4751" s="693"/>
      <c r="VBF4751" s="696"/>
      <c r="VBG4751" s="693"/>
      <c r="VBH4751" s="696"/>
      <c r="VBI4751" s="693"/>
      <c r="VBJ4751" s="696"/>
      <c r="VBK4751" s="693"/>
      <c r="VBL4751" s="696"/>
      <c r="VBM4751" s="693"/>
      <c r="VBN4751" s="696"/>
      <c r="VBO4751" s="693"/>
      <c r="VBP4751" s="696"/>
      <c r="VBQ4751" s="693"/>
      <c r="VBR4751" s="696"/>
      <c r="VBS4751" s="693"/>
      <c r="VBT4751" s="696"/>
      <c r="VBU4751" s="693"/>
      <c r="VBV4751" s="696"/>
      <c r="VBW4751" s="693"/>
      <c r="VBX4751" s="696"/>
      <c r="VBY4751" s="693"/>
      <c r="VBZ4751" s="696"/>
      <c r="VCA4751" s="693"/>
      <c r="VCB4751" s="696"/>
      <c r="VCC4751" s="693"/>
      <c r="VCD4751" s="696"/>
      <c r="VCE4751" s="693"/>
      <c r="VCF4751" s="696"/>
      <c r="VCG4751" s="693"/>
      <c r="VCH4751" s="696"/>
      <c r="VCI4751" s="693"/>
      <c r="VCJ4751" s="696"/>
      <c r="VCK4751" s="693"/>
      <c r="VCL4751" s="696"/>
      <c r="VCM4751" s="693"/>
      <c r="VCN4751" s="696"/>
      <c r="VCO4751" s="693"/>
      <c r="VCP4751" s="696"/>
      <c r="VCQ4751" s="693"/>
      <c r="VCR4751" s="696"/>
      <c r="VCS4751" s="693"/>
      <c r="VCT4751" s="696"/>
      <c r="VCU4751" s="693"/>
      <c r="VCV4751" s="696"/>
      <c r="VCW4751" s="693"/>
      <c r="VCX4751" s="696"/>
      <c r="VCY4751" s="693"/>
      <c r="VCZ4751" s="696"/>
      <c r="VDA4751" s="693"/>
      <c r="VDB4751" s="696"/>
      <c r="VDC4751" s="693"/>
      <c r="VDD4751" s="696"/>
      <c r="VDE4751" s="693"/>
      <c r="VDF4751" s="696"/>
      <c r="VDG4751" s="693"/>
      <c r="VDH4751" s="696"/>
      <c r="VDI4751" s="693"/>
      <c r="VDJ4751" s="696"/>
      <c r="VDK4751" s="693"/>
      <c r="VDL4751" s="696"/>
      <c r="VDM4751" s="693"/>
      <c r="VDN4751" s="696"/>
      <c r="VDO4751" s="693"/>
      <c r="VDP4751" s="696"/>
      <c r="VDQ4751" s="693"/>
      <c r="VDR4751" s="696"/>
      <c r="VDS4751" s="693"/>
      <c r="VDT4751" s="696"/>
      <c r="VDU4751" s="693"/>
      <c r="VDV4751" s="696"/>
      <c r="VDW4751" s="693"/>
      <c r="VDX4751" s="696"/>
      <c r="VDY4751" s="693"/>
      <c r="VDZ4751" s="696"/>
      <c r="VEA4751" s="693"/>
      <c r="VEB4751" s="696"/>
      <c r="VEC4751" s="693"/>
      <c r="VED4751" s="696"/>
      <c r="VEE4751" s="693"/>
      <c r="VEF4751" s="696"/>
      <c r="VEG4751" s="693"/>
      <c r="VEH4751" s="696"/>
      <c r="VEI4751" s="693"/>
      <c r="VEJ4751" s="696"/>
      <c r="VEK4751" s="693"/>
      <c r="VEL4751" s="696"/>
      <c r="VEM4751" s="693"/>
      <c r="VEN4751" s="696"/>
      <c r="VEO4751" s="693"/>
      <c r="VEP4751" s="696"/>
      <c r="VEQ4751" s="693"/>
      <c r="VER4751" s="696"/>
      <c r="VES4751" s="693"/>
      <c r="VET4751" s="696"/>
      <c r="VEU4751" s="693"/>
      <c r="VEV4751" s="696"/>
      <c r="VEW4751" s="693"/>
      <c r="VEX4751" s="696"/>
      <c r="VEY4751" s="693"/>
      <c r="VEZ4751" s="696"/>
      <c r="VFA4751" s="693"/>
      <c r="VFB4751" s="696"/>
      <c r="VFC4751" s="693"/>
      <c r="VFD4751" s="696"/>
      <c r="VFE4751" s="693"/>
      <c r="VFF4751" s="696"/>
      <c r="VFG4751" s="693"/>
      <c r="VFH4751" s="696"/>
      <c r="VFI4751" s="693"/>
      <c r="VFJ4751" s="696"/>
      <c r="VFK4751" s="693"/>
      <c r="VFL4751" s="696"/>
      <c r="VFM4751" s="693"/>
      <c r="VFN4751" s="696"/>
      <c r="VFO4751" s="693"/>
      <c r="VFP4751" s="696"/>
      <c r="VFQ4751" s="693"/>
      <c r="VFR4751" s="696"/>
      <c r="VFS4751" s="693"/>
      <c r="VFT4751" s="696"/>
      <c r="VFU4751" s="693"/>
      <c r="VFV4751" s="696"/>
      <c r="VFW4751" s="693"/>
      <c r="VFX4751" s="696"/>
      <c r="VFY4751" s="693"/>
      <c r="VFZ4751" s="696"/>
      <c r="VGA4751" s="693"/>
      <c r="VGB4751" s="696"/>
      <c r="VGC4751" s="693"/>
      <c r="VGD4751" s="696"/>
      <c r="VGE4751" s="693"/>
      <c r="VGF4751" s="696"/>
      <c r="VGG4751" s="693"/>
      <c r="VGH4751" s="696"/>
      <c r="VGI4751" s="693"/>
      <c r="VGJ4751" s="696"/>
      <c r="VGK4751" s="693"/>
      <c r="VGL4751" s="696"/>
      <c r="VGM4751" s="693"/>
      <c r="VGN4751" s="696"/>
      <c r="VGO4751" s="693"/>
      <c r="VGP4751" s="696"/>
      <c r="VGQ4751" s="693"/>
      <c r="VGR4751" s="696"/>
      <c r="VGS4751" s="693"/>
      <c r="VGT4751" s="696"/>
      <c r="VGU4751" s="693"/>
      <c r="VGV4751" s="696"/>
      <c r="VGW4751" s="693"/>
      <c r="VGX4751" s="696"/>
      <c r="VGY4751" s="693"/>
      <c r="VGZ4751" s="696"/>
      <c r="VHA4751" s="693"/>
      <c r="VHB4751" s="696"/>
      <c r="VHC4751" s="693"/>
      <c r="VHD4751" s="696"/>
      <c r="VHE4751" s="693"/>
      <c r="VHF4751" s="696"/>
      <c r="VHG4751" s="693"/>
      <c r="VHH4751" s="696"/>
      <c r="VHI4751" s="693"/>
      <c r="VHJ4751" s="696"/>
      <c r="VHK4751" s="693"/>
      <c r="VHL4751" s="696"/>
      <c r="VHM4751" s="693"/>
      <c r="VHN4751" s="696"/>
      <c r="VHO4751" s="693"/>
      <c r="VHP4751" s="696"/>
      <c r="VHQ4751" s="693"/>
      <c r="VHR4751" s="696"/>
      <c r="VHS4751" s="693"/>
      <c r="VHT4751" s="696"/>
      <c r="VHU4751" s="693"/>
      <c r="VHV4751" s="696"/>
      <c r="VHW4751" s="693"/>
      <c r="VHX4751" s="696"/>
      <c r="VHY4751" s="693"/>
      <c r="VHZ4751" s="696"/>
      <c r="VIA4751" s="693"/>
      <c r="VIB4751" s="696"/>
      <c r="VIC4751" s="693"/>
      <c r="VID4751" s="696"/>
      <c r="VIE4751" s="693"/>
      <c r="VIF4751" s="696"/>
      <c r="VIG4751" s="693"/>
      <c r="VIH4751" s="696"/>
      <c r="VII4751" s="693"/>
      <c r="VIJ4751" s="696"/>
      <c r="VIK4751" s="693"/>
      <c r="VIL4751" s="696"/>
      <c r="VIM4751" s="693"/>
      <c r="VIN4751" s="696"/>
      <c r="VIO4751" s="693"/>
      <c r="VIP4751" s="696"/>
      <c r="VIQ4751" s="693"/>
      <c r="VIR4751" s="696"/>
      <c r="VIS4751" s="693"/>
      <c r="VIT4751" s="696"/>
      <c r="VIU4751" s="693"/>
      <c r="VIV4751" s="696"/>
      <c r="VIW4751" s="693"/>
      <c r="VIX4751" s="696"/>
      <c r="VIY4751" s="693"/>
      <c r="VIZ4751" s="696"/>
      <c r="VJA4751" s="693"/>
      <c r="VJB4751" s="696"/>
      <c r="VJC4751" s="693"/>
      <c r="VJD4751" s="696"/>
      <c r="VJE4751" s="693"/>
      <c r="VJF4751" s="696"/>
      <c r="VJG4751" s="693"/>
      <c r="VJH4751" s="696"/>
      <c r="VJI4751" s="693"/>
      <c r="VJJ4751" s="696"/>
      <c r="VJK4751" s="693"/>
      <c r="VJL4751" s="696"/>
      <c r="VJM4751" s="693"/>
      <c r="VJN4751" s="696"/>
      <c r="VJO4751" s="693"/>
      <c r="VJP4751" s="696"/>
      <c r="VJQ4751" s="693"/>
      <c r="VJR4751" s="696"/>
      <c r="VJS4751" s="693"/>
      <c r="VJT4751" s="696"/>
      <c r="VJU4751" s="693"/>
      <c r="VJV4751" s="696"/>
      <c r="VJW4751" s="693"/>
      <c r="VJX4751" s="696"/>
      <c r="VJY4751" s="693"/>
      <c r="VJZ4751" s="696"/>
      <c r="VKA4751" s="693"/>
      <c r="VKB4751" s="696"/>
      <c r="VKC4751" s="693"/>
      <c r="VKD4751" s="696"/>
      <c r="VKE4751" s="693"/>
      <c r="VKF4751" s="696"/>
      <c r="VKG4751" s="693"/>
      <c r="VKH4751" s="696"/>
      <c r="VKI4751" s="693"/>
      <c r="VKJ4751" s="696"/>
      <c r="VKK4751" s="693"/>
      <c r="VKL4751" s="696"/>
      <c r="VKM4751" s="693"/>
      <c r="VKN4751" s="696"/>
      <c r="VKO4751" s="693"/>
      <c r="VKP4751" s="696"/>
      <c r="VKQ4751" s="693"/>
      <c r="VKR4751" s="696"/>
      <c r="VKS4751" s="693"/>
      <c r="VKT4751" s="696"/>
      <c r="VKU4751" s="693"/>
      <c r="VKV4751" s="696"/>
      <c r="VKW4751" s="693"/>
      <c r="VKX4751" s="696"/>
      <c r="VKY4751" s="693"/>
      <c r="VKZ4751" s="696"/>
      <c r="VLA4751" s="693"/>
      <c r="VLB4751" s="696"/>
      <c r="VLC4751" s="693"/>
      <c r="VLD4751" s="696"/>
      <c r="VLE4751" s="693"/>
      <c r="VLF4751" s="696"/>
      <c r="VLG4751" s="693"/>
      <c r="VLH4751" s="696"/>
      <c r="VLI4751" s="693"/>
      <c r="VLJ4751" s="696"/>
      <c r="VLK4751" s="693"/>
      <c r="VLL4751" s="696"/>
      <c r="VLM4751" s="693"/>
      <c r="VLN4751" s="696"/>
      <c r="VLO4751" s="693"/>
      <c r="VLP4751" s="696"/>
      <c r="VLQ4751" s="693"/>
      <c r="VLR4751" s="696"/>
      <c r="VLS4751" s="693"/>
      <c r="VLT4751" s="696"/>
      <c r="VLU4751" s="693"/>
      <c r="VLV4751" s="696"/>
      <c r="VLW4751" s="693"/>
      <c r="VLX4751" s="696"/>
      <c r="VLY4751" s="693"/>
      <c r="VLZ4751" s="696"/>
      <c r="VMA4751" s="693"/>
      <c r="VMB4751" s="696"/>
      <c r="VMC4751" s="693"/>
      <c r="VMD4751" s="696"/>
      <c r="VME4751" s="693"/>
      <c r="VMF4751" s="696"/>
      <c r="VMG4751" s="693"/>
      <c r="VMH4751" s="696"/>
      <c r="VMI4751" s="693"/>
      <c r="VMJ4751" s="696"/>
      <c r="VMK4751" s="693"/>
      <c r="VML4751" s="696"/>
      <c r="VMM4751" s="693"/>
      <c r="VMN4751" s="696"/>
      <c r="VMO4751" s="693"/>
      <c r="VMP4751" s="696"/>
      <c r="VMQ4751" s="693"/>
      <c r="VMR4751" s="696"/>
      <c r="VMS4751" s="693"/>
      <c r="VMT4751" s="696"/>
      <c r="VMU4751" s="693"/>
      <c r="VMV4751" s="696"/>
      <c r="VMW4751" s="693"/>
      <c r="VMX4751" s="696"/>
      <c r="VMY4751" s="693"/>
      <c r="VMZ4751" s="696"/>
      <c r="VNA4751" s="693"/>
      <c r="VNB4751" s="696"/>
      <c r="VNC4751" s="693"/>
      <c r="VND4751" s="696"/>
      <c r="VNE4751" s="693"/>
      <c r="VNF4751" s="696"/>
      <c r="VNG4751" s="693"/>
      <c r="VNH4751" s="696"/>
      <c r="VNI4751" s="693"/>
      <c r="VNJ4751" s="696"/>
      <c r="VNK4751" s="693"/>
      <c r="VNL4751" s="696"/>
      <c r="VNM4751" s="693"/>
      <c r="VNN4751" s="696"/>
      <c r="VNO4751" s="693"/>
      <c r="VNP4751" s="696"/>
      <c r="VNQ4751" s="693"/>
      <c r="VNR4751" s="696"/>
      <c r="VNS4751" s="693"/>
      <c r="VNT4751" s="696"/>
      <c r="VNU4751" s="693"/>
      <c r="VNV4751" s="696"/>
      <c r="VNW4751" s="693"/>
      <c r="VNX4751" s="696"/>
      <c r="VNY4751" s="693"/>
      <c r="VNZ4751" s="696"/>
      <c r="VOA4751" s="693"/>
      <c r="VOB4751" s="696"/>
      <c r="VOC4751" s="693"/>
      <c r="VOD4751" s="696"/>
      <c r="VOE4751" s="693"/>
      <c r="VOF4751" s="696"/>
      <c r="VOG4751" s="693"/>
      <c r="VOH4751" s="696"/>
      <c r="VOI4751" s="693"/>
      <c r="VOJ4751" s="696"/>
      <c r="VOK4751" s="693"/>
      <c r="VOL4751" s="696"/>
      <c r="VOM4751" s="693"/>
      <c r="VON4751" s="696"/>
      <c r="VOO4751" s="693"/>
      <c r="VOP4751" s="696"/>
      <c r="VOQ4751" s="693"/>
      <c r="VOR4751" s="696"/>
      <c r="VOS4751" s="693"/>
      <c r="VOT4751" s="696"/>
      <c r="VOU4751" s="693"/>
      <c r="VOV4751" s="696"/>
      <c r="VOW4751" s="693"/>
      <c r="VOX4751" s="696"/>
      <c r="VOY4751" s="693"/>
      <c r="VOZ4751" s="696"/>
      <c r="VPA4751" s="693"/>
      <c r="VPB4751" s="696"/>
      <c r="VPC4751" s="693"/>
      <c r="VPD4751" s="696"/>
      <c r="VPE4751" s="693"/>
      <c r="VPF4751" s="696"/>
      <c r="VPG4751" s="693"/>
      <c r="VPH4751" s="696"/>
      <c r="VPI4751" s="693"/>
      <c r="VPJ4751" s="696"/>
      <c r="VPK4751" s="693"/>
      <c r="VPL4751" s="696"/>
      <c r="VPM4751" s="693"/>
      <c r="VPN4751" s="696"/>
      <c r="VPO4751" s="693"/>
      <c r="VPP4751" s="696"/>
      <c r="VPQ4751" s="693"/>
      <c r="VPR4751" s="696"/>
      <c r="VPS4751" s="693"/>
      <c r="VPT4751" s="696"/>
      <c r="VPU4751" s="693"/>
      <c r="VPV4751" s="696"/>
      <c r="VPW4751" s="693"/>
      <c r="VPX4751" s="696"/>
      <c r="VPY4751" s="693"/>
      <c r="VPZ4751" s="696"/>
      <c r="VQA4751" s="693"/>
      <c r="VQB4751" s="696"/>
      <c r="VQC4751" s="693"/>
      <c r="VQD4751" s="696"/>
      <c r="VQE4751" s="693"/>
      <c r="VQF4751" s="696"/>
      <c r="VQG4751" s="693"/>
      <c r="VQH4751" s="696"/>
      <c r="VQI4751" s="693"/>
      <c r="VQJ4751" s="696"/>
      <c r="VQK4751" s="693"/>
      <c r="VQL4751" s="696"/>
      <c r="VQM4751" s="693"/>
      <c r="VQN4751" s="696"/>
      <c r="VQO4751" s="693"/>
      <c r="VQP4751" s="696"/>
      <c r="VQQ4751" s="693"/>
      <c r="VQR4751" s="696"/>
      <c r="VQS4751" s="693"/>
      <c r="VQT4751" s="696"/>
      <c r="VQU4751" s="693"/>
      <c r="VQV4751" s="696"/>
      <c r="VQW4751" s="693"/>
      <c r="VQX4751" s="696"/>
      <c r="VQY4751" s="693"/>
      <c r="VQZ4751" s="696"/>
      <c r="VRA4751" s="693"/>
      <c r="VRB4751" s="696"/>
      <c r="VRC4751" s="693"/>
      <c r="VRD4751" s="696"/>
      <c r="VRE4751" s="693"/>
      <c r="VRF4751" s="696"/>
      <c r="VRG4751" s="693"/>
      <c r="VRH4751" s="696"/>
      <c r="VRI4751" s="693"/>
      <c r="VRJ4751" s="696"/>
      <c r="VRK4751" s="693"/>
      <c r="VRL4751" s="696"/>
      <c r="VRM4751" s="693"/>
      <c r="VRN4751" s="696"/>
      <c r="VRO4751" s="693"/>
      <c r="VRP4751" s="696"/>
      <c r="VRQ4751" s="693"/>
      <c r="VRR4751" s="696"/>
      <c r="VRS4751" s="693"/>
      <c r="VRT4751" s="696"/>
      <c r="VRU4751" s="693"/>
      <c r="VRV4751" s="696"/>
      <c r="VRW4751" s="693"/>
      <c r="VRX4751" s="696"/>
      <c r="VRY4751" s="693"/>
      <c r="VRZ4751" s="696"/>
      <c r="VSA4751" s="693"/>
      <c r="VSB4751" s="696"/>
      <c r="VSC4751" s="693"/>
      <c r="VSD4751" s="696"/>
      <c r="VSE4751" s="693"/>
      <c r="VSF4751" s="696"/>
      <c r="VSG4751" s="693"/>
      <c r="VSH4751" s="696"/>
      <c r="VSI4751" s="693"/>
      <c r="VSJ4751" s="696"/>
      <c r="VSK4751" s="693"/>
      <c r="VSL4751" s="696"/>
      <c r="VSM4751" s="693"/>
      <c r="VSN4751" s="696"/>
      <c r="VSO4751" s="693"/>
      <c r="VSP4751" s="696"/>
      <c r="VSQ4751" s="693"/>
      <c r="VSR4751" s="696"/>
      <c r="VSS4751" s="693"/>
      <c r="VST4751" s="696"/>
      <c r="VSU4751" s="693"/>
      <c r="VSV4751" s="696"/>
      <c r="VSW4751" s="693"/>
      <c r="VSX4751" s="696"/>
      <c r="VSY4751" s="693"/>
      <c r="VSZ4751" s="696"/>
      <c r="VTA4751" s="693"/>
      <c r="VTB4751" s="696"/>
      <c r="VTC4751" s="693"/>
      <c r="VTD4751" s="696"/>
      <c r="VTE4751" s="693"/>
      <c r="VTF4751" s="696"/>
      <c r="VTG4751" s="693"/>
      <c r="VTH4751" s="696"/>
      <c r="VTI4751" s="693"/>
      <c r="VTJ4751" s="696"/>
      <c r="VTK4751" s="693"/>
      <c r="VTL4751" s="696"/>
      <c r="VTM4751" s="693"/>
      <c r="VTN4751" s="696"/>
      <c r="VTO4751" s="693"/>
      <c r="VTP4751" s="696"/>
      <c r="VTQ4751" s="693"/>
      <c r="VTR4751" s="696"/>
      <c r="VTS4751" s="693"/>
      <c r="VTT4751" s="696"/>
      <c r="VTU4751" s="693"/>
    </row>
    <row r="4752" spans="1:15413" s="289" customFormat="1" ht="30" outlineLevel="2">
      <c r="A4752" s="382"/>
      <c r="B4752" s="382"/>
      <c r="C4752" s="389">
        <v>2211306</v>
      </c>
      <c r="D4752" s="694" t="s">
        <v>57</v>
      </c>
      <c r="E4752" s="675">
        <v>87000</v>
      </c>
      <c r="F4752" s="597">
        <f t="shared" ref="F4752:G4752" si="3792">E4752*1.1</f>
        <v>95700.000000000015</v>
      </c>
      <c r="G4752" s="597">
        <f t="shared" si="3792"/>
        <v>105270.00000000003</v>
      </c>
      <c r="H4752" s="132"/>
      <c r="I4752" s="689"/>
      <c r="J4752" s="691"/>
      <c r="K4752" s="689"/>
      <c r="L4752" s="691"/>
      <c r="M4752" s="689"/>
      <c r="N4752" s="691"/>
      <c r="O4752" s="689"/>
      <c r="P4752" s="691"/>
      <c r="Q4752" s="689"/>
      <c r="R4752" s="691"/>
      <c r="S4752" s="689"/>
      <c r="T4752" s="691"/>
      <c r="U4752" s="689"/>
      <c r="V4752" s="691"/>
      <c r="W4752" s="689"/>
      <c r="X4752" s="691"/>
      <c r="Y4752" s="689"/>
      <c r="Z4752" s="691"/>
      <c r="AA4752" s="689"/>
      <c r="AB4752" s="691"/>
      <c r="AC4752" s="689"/>
      <c r="AD4752" s="691"/>
      <c r="AE4752" s="689"/>
      <c r="AF4752" s="691"/>
      <c r="AG4752" s="689"/>
      <c r="AH4752" s="691"/>
      <c r="AI4752" s="689"/>
      <c r="AJ4752" s="691"/>
      <c r="AK4752" s="689"/>
      <c r="AL4752" s="691"/>
      <c r="AM4752" s="689"/>
      <c r="AN4752" s="691"/>
      <c r="AO4752" s="689"/>
      <c r="AP4752" s="691"/>
      <c r="AQ4752" s="689"/>
      <c r="AR4752" s="691"/>
      <c r="AS4752" s="689"/>
      <c r="AT4752" s="691"/>
      <c r="AU4752" s="689"/>
      <c r="AV4752" s="691"/>
      <c r="AW4752" s="689"/>
      <c r="AX4752" s="691"/>
      <c r="AY4752" s="689"/>
      <c r="AZ4752" s="691"/>
      <c r="BA4752" s="689"/>
      <c r="BB4752" s="691"/>
      <c r="BC4752" s="689"/>
      <c r="BD4752" s="691"/>
      <c r="BE4752" s="689"/>
      <c r="BF4752" s="691"/>
      <c r="BG4752" s="689"/>
      <c r="BH4752" s="691"/>
      <c r="BI4752" s="689"/>
      <c r="BJ4752" s="691"/>
      <c r="BK4752" s="689"/>
      <c r="BL4752" s="691"/>
      <c r="BM4752" s="689"/>
      <c r="BN4752" s="691"/>
      <c r="BO4752" s="689"/>
      <c r="BP4752" s="691"/>
      <c r="BQ4752" s="689"/>
      <c r="BR4752" s="691"/>
      <c r="BS4752" s="689"/>
      <c r="BT4752" s="691"/>
      <c r="BU4752" s="689"/>
      <c r="BV4752" s="691"/>
      <c r="BW4752" s="689"/>
      <c r="BX4752" s="691"/>
      <c r="BY4752" s="689"/>
      <c r="BZ4752" s="691"/>
      <c r="CA4752" s="689"/>
      <c r="CB4752" s="691"/>
      <c r="CC4752" s="689"/>
      <c r="CD4752" s="691"/>
      <c r="CE4752" s="689"/>
      <c r="CF4752" s="691"/>
      <c r="CG4752" s="689"/>
      <c r="CH4752" s="691"/>
      <c r="CI4752" s="689"/>
      <c r="CJ4752" s="691"/>
      <c r="CK4752" s="689"/>
      <c r="CL4752" s="691"/>
      <c r="CM4752" s="689"/>
      <c r="CN4752" s="691"/>
      <c r="CO4752" s="689"/>
      <c r="CP4752" s="691"/>
      <c r="CQ4752" s="689"/>
      <c r="CR4752" s="691"/>
      <c r="CS4752" s="689"/>
      <c r="CT4752" s="691"/>
      <c r="CU4752" s="689"/>
      <c r="CV4752" s="691"/>
      <c r="CW4752" s="689"/>
      <c r="CX4752" s="691"/>
      <c r="CY4752" s="689"/>
      <c r="CZ4752" s="691"/>
      <c r="DA4752" s="689"/>
      <c r="DB4752" s="691"/>
      <c r="DC4752" s="689"/>
      <c r="DD4752" s="691"/>
      <c r="DE4752" s="689"/>
      <c r="DF4752" s="691"/>
      <c r="DG4752" s="689"/>
      <c r="DH4752" s="691"/>
      <c r="DI4752" s="689"/>
      <c r="DJ4752" s="691"/>
      <c r="DK4752" s="689"/>
      <c r="DL4752" s="691"/>
      <c r="DM4752" s="689"/>
      <c r="DN4752" s="691"/>
      <c r="DO4752" s="689"/>
      <c r="DP4752" s="691"/>
      <c r="DQ4752" s="689"/>
      <c r="DR4752" s="691"/>
      <c r="DS4752" s="689"/>
      <c r="DT4752" s="691"/>
      <c r="DU4752" s="689"/>
      <c r="DV4752" s="691"/>
      <c r="DW4752" s="689"/>
      <c r="DX4752" s="691"/>
      <c r="DY4752" s="689"/>
      <c r="DZ4752" s="691"/>
      <c r="EA4752" s="689"/>
      <c r="EB4752" s="691"/>
      <c r="EC4752" s="689"/>
      <c r="ED4752" s="691"/>
      <c r="EE4752" s="689"/>
      <c r="EF4752" s="691"/>
      <c r="EG4752" s="689"/>
      <c r="EH4752" s="691"/>
      <c r="EI4752" s="689"/>
      <c r="EJ4752" s="691"/>
      <c r="EK4752" s="689"/>
      <c r="EL4752" s="691"/>
      <c r="EM4752" s="689"/>
      <c r="EN4752" s="691"/>
      <c r="EO4752" s="689"/>
      <c r="EP4752" s="691"/>
      <c r="EQ4752" s="689"/>
      <c r="ER4752" s="691"/>
      <c r="ES4752" s="689"/>
      <c r="ET4752" s="691"/>
      <c r="EU4752" s="689"/>
      <c r="EV4752" s="691"/>
      <c r="EW4752" s="689"/>
      <c r="EX4752" s="691"/>
      <c r="EY4752" s="689"/>
      <c r="EZ4752" s="691"/>
      <c r="FA4752" s="689"/>
      <c r="FB4752" s="691"/>
      <c r="FC4752" s="689"/>
      <c r="FD4752" s="691"/>
      <c r="FE4752" s="689"/>
      <c r="FF4752" s="691"/>
      <c r="FG4752" s="689"/>
      <c r="FH4752" s="691"/>
      <c r="FI4752" s="689"/>
      <c r="FJ4752" s="691"/>
      <c r="FK4752" s="689"/>
      <c r="FL4752" s="691"/>
      <c r="FM4752" s="689"/>
      <c r="FN4752" s="691"/>
      <c r="FO4752" s="689"/>
      <c r="FP4752" s="691"/>
      <c r="FQ4752" s="689"/>
      <c r="FR4752" s="691"/>
      <c r="FS4752" s="689"/>
      <c r="FT4752" s="691"/>
      <c r="FU4752" s="689"/>
      <c r="FV4752" s="691"/>
      <c r="FW4752" s="689"/>
      <c r="FX4752" s="691"/>
      <c r="FY4752" s="689"/>
      <c r="FZ4752" s="691"/>
      <c r="GA4752" s="689"/>
      <c r="GB4752" s="691"/>
      <c r="GC4752" s="689"/>
      <c r="GD4752" s="691"/>
      <c r="GE4752" s="689"/>
      <c r="GF4752" s="691"/>
      <c r="GG4752" s="689"/>
      <c r="GH4752" s="691"/>
      <c r="GI4752" s="689"/>
      <c r="GJ4752" s="691"/>
      <c r="GK4752" s="689"/>
      <c r="GL4752" s="691"/>
      <c r="GM4752" s="689"/>
      <c r="GN4752" s="691"/>
      <c r="GO4752" s="689"/>
      <c r="GP4752" s="691"/>
      <c r="GQ4752" s="689"/>
      <c r="GR4752" s="691"/>
      <c r="GS4752" s="689"/>
      <c r="GT4752" s="691"/>
      <c r="GU4752" s="689"/>
      <c r="GV4752" s="691"/>
      <c r="GW4752" s="689"/>
      <c r="GX4752" s="691"/>
      <c r="GY4752" s="689"/>
      <c r="GZ4752" s="691"/>
      <c r="HA4752" s="689"/>
      <c r="HB4752" s="691"/>
      <c r="HC4752" s="689"/>
      <c r="HD4752" s="691"/>
      <c r="HE4752" s="689"/>
      <c r="HF4752" s="691"/>
      <c r="HG4752" s="689"/>
      <c r="HH4752" s="691"/>
      <c r="HI4752" s="689"/>
      <c r="HJ4752" s="691"/>
      <c r="HK4752" s="689"/>
      <c r="HL4752" s="691"/>
      <c r="HM4752" s="689"/>
      <c r="HN4752" s="691"/>
      <c r="HO4752" s="689"/>
      <c r="HP4752" s="691"/>
      <c r="HQ4752" s="689"/>
      <c r="HR4752" s="691"/>
      <c r="HS4752" s="689"/>
      <c r="HT4752" s="691"/>
      <c r="HU4752" s="689"/>
      <c r="HV4752" s="691"/>
      <c r="HW4752" s="689"/>
      <c r="HX4752" s="691"/>
      <c r="HY4752" s="689"/>
      <c r="HZ4752" s="691"/>
      <c r="IA4752" s="689"/>
      <c r="IB4752" s="691"/>
      <c r="IC4752" s="689"/>
      <c r="ID4752" s="691"/>
      <c r="IE4752" s="689"/>
      <c r="IF4752" s="691"/>
      <c r="IG4752" s="689"/>
      <c r="IH4752" s="691"/>
      <c r="II4752" s="689"/>
      <c r="IJ4752" s="691"/>
      <c r="IK4752" s="689"/>
      <c r="IL4752" s="691"/>
      <c r="IM4752" s="689"/>
      <c r="IN4752" s="691"/>
      <c r="IO4752" s="689"/>
      <c r="IP4752" s="691"/>
      <c r="IQ4752" s="689"/>
      <c r="IR4752" s="691"/>
      <c r="IS4752" s="689"/>
      <c r="IT4752" s="691"/>
      <c r="IU4752" s="689"/>
      <c r="IV4752" s="691"/>
      <c r="IW4752" s="689"/>
      <c r="IX4752" s="691"/>
      <c r="IY4752" s="689"/>
      <c r="IZ4752" s="691"/>
      <c r="JA4752" s="689"/>
      <c r="JB4752" s="691"/>
      <c r="JC4752" s="689"/>
      <c r="JD4752" s="691"/>
      <c r="JE4752" s="689"/>
      <c r="JF4752" s="691"/>
      <c r="JG4752" s="689"/>
      <c r="JH4752" s="691"/>
      <c r="JI4752" s="689"/>
      <c r="JJ4752" s="691"/>
      <c r="JK4752" s="689"/>
      <c r="JL4752" s="691"/>
      <c r="JM4752" s="689"/>
      <c r="JN4752" s="691"/>
      <c r="JO4752" s="689"/>
      <c r="JP4752" s="691"/>
      <c r="JQ4752" s="689"/>
      <c r="JR4752" s="691"/>
      <c r="JS4752" s="689"/>
      <c r="JT4752" s="691"/>
      <c r="JU4752" s="689"/>
      <c r="JV4752" s="691"/>
      <c r="JW4752" s="689"/>
      <c r="JX4752" s="691"/>
      <c r="JY4752" s="689"/>
      <c r="JZ4752" s="691"/>
      <c r="KA4752" s="689"/>
      <c r="KB4752" s="691"/>
      <c r="KC4752" s="689"/>
      <c r="KD4752" s="691"/>
      <c r="KE4752" s="689"/>
      <c r="KF4752" s="691"/>
      <c r="KG4752" s="689"/>
      <c r="KH4752" s="691"/>
      <c r="KI4752" s="689"/>
      <c r="KJ4752" s="691"/>
      <c r="KK4752" s="689"/>
      <c r="KL4752" s="691"/>
      <c r="KM4752" s="689"/>
      <c r="KN4752" s="691"/>
      <c r="KO4752" s="689"/>
      <c r="KP4752" s="691"/>
      <c r="KQ4752" s="689"/>
      <c r="KR4752" s="691"/>
      <c r="KS4752" s="689"/>
      <c r="KT4752" s="691"/>
      <c r="KU4752" s="689"/>
      <c r="KV4752" s="691"/>
      <c r="KW4752" s="689"/>
      <c r="KX4752" s="691"/>
      <c r="KY4752" s="689"/>
      <c r="KZ4752" s="691"/>
      <c r="LA4752" s="689"/>
      <c r="LB4752" s="691"/>
      <c r="LC4752" s="689"/>
      <c r="LD4752" s="691"/>
      <c r="LE4752" s="689"/>
      <c r="LF4752" s="691"/>
      <c r="LG4752" s="689"/>
      <c r="LH4752" s="691"/>
      <c r="LI4752" s="689"/>
      <c r="LJ4752" s="691"/>
      <c r="LK4752" s="689"/>
      <c r="LL4752" s="691"/>
      <c r="LM4752" s="689"/>
      <c r="LN4752" s="691"/>
      <c r="LO4752" s="689"/>
      <c r="LP4752" s="691"/>
      <c r="LQ4752" s="689"/>
      <c r="LR4752" s="691"/>
      <c r="LS4752" s="689"/>
      <c r="LT4752" s="691"/>
      <c r="LU4752" s="689"/>
      <c r="LV4752" s="691"/>
      <c r="LW4752" s="689"/>
      <c r="LX4752" s="691"/>
      <c r="LY4752" s="689"/>
      <c r="LZ4752" s="691"/>
      <c r="MA4752" s="689"/>
      <c r="MB4752" s="691"/>
      <c r="MC4752" s="689"/>
      <c r="MD4752" s="691"/>
      <c r="ME4752" s="689"/>
      <c r="MF4752" s="691"/>
      <c r="MG4752" s="689"/>
      <c r="MH4752" s="691"/>
      <c r="MI4752" s="689"/>
      <c r="MJ4752" s="691"/>
      <c r="MK4752" s="689"/>
      <c r="ML4752" s="691"/>
      <c r="MM4752" s="689"/>
      <c r="MN4752" s="691"/>
      <c r="MO4752" s="689"/>
      <c r="MP4752" s="691"/>
      <c r="MQ4752" s="689"/>
      <c r="MR4752" s="691"/>
      <c r="MS4752" s="689"/>
      <c r="MT4752" s="691"/>
      <c r="MU4752" s="689"/>
      <c r="MV4752" s="691"/>
      <c r="MW4752" s="689"/>
      <c r="MX4752" s="691"/>
      <c r="MY4752" s="689"/>
      <c r="MZ4752" s="691"/>
      <c r="NA4752" s="689"/>
      <c r="NB4752" s="691"/>
      <c r="NC4752" s="689"/>
      <c r="ND4752" s="691"/>
      <c r="NE4752" s="689"/>
      <c r="NF4752" s="691"/>
      <c r="NG4752" s="689"/>
      <c r="NH4752" s="691"/>
      <c r="NI4752" s="689"/>
      <c r="NJ4752" s="691"/>
      <c r="NK4752" s="689"/>
      <c r="NL4752" s="691"/>
      <c r="NM4752" s="689"/>
      <c r="NN4752" s="691"/>
      <c r="NO4752" s="689"/>
      <c r="NP4752" s="691"/>
      <c r="NQ4752" s="689"/>
      <c r="NR4752" s="691"/>
      <c r="NS4752" s="689"/>
      <c r="NT4752" s="691"/>
      <c r="NU4752" s="689"/>
      <c r="NV4752" s="691"/>
      <c r="NW4752" s="689"/>
      <c r="NX4752" s="691"/>
      <c r="NY4752" s="689"/>
      <c r="NZ4752" s="691"/>
      <c r="OA4752" s="689"/>
      <c r="OB4752" s="691"/>
      <c r="OC4752" s="689"/>
      <c r="OD4752" s="691"/>
      <c r="OE4752" s="689"/>
      <c r="OF4752" s="691"/>
      <c r="OG4752" s="689"/>
      <c r="OH4752" s="691"/>
      <c r="OI4752" s="689"/>
      <c r="OJ4752" s="691"/>
      <c r="OK4752" s="689"/>
      <c r="OL4752" s="691"/>
      <c r="OM4752" s="689"/>
      <c r="ON4752" s="691"/>
      <c r="OO4752" s="689"/>
      <c r="OP4752" s="691"/>
      <c r="OQ4752" s="689"/>
      <c r="OR4752" s="691"/>
      <c r="OS4752" s="689"/>
      <c r="OT4752" s="691"/>
      <c r="OU4752" s="689"/>
      <c r="OV4752" s="691"/>
      <c r="OW4752" s="689"/>
      <c r="OX4752" s="691"/>
      <c r="OY4752" s="689"/>
      <c r="OZ4752" s="691"/>
      <c r="PA4752" s="689"/>
      <c r="PB4752" s="691"/>
      <c r="PC4752" s="689"/>
      <c r="PD4752" s="691"/>
      <c r="PE4752" s="689"/>
      <c r="PF4752" s="691"/>
      <c r="PG4752" s="689"/>
      <c r="PH4752" s="691"/>
      <c r="PI4752" s="689"/>
      <c r="PJ4752" s="691"/>
      <c r="PK4752" s="689"/>
      <c r="PL4752" s="691"/>
      <c r="PM4752" s="689"/>
      <c r="PN4752" s="691"/>
      <c r="PO4752" s="689"/>
      <c r="PP4752" s="691"/>
      <c r="PQ4752" s="689"/>
      <c r="PR4752" s="691"/>
      <c r="PS4752" s="689"/>
      <c r="PT4752" s="691"/>
      <c r="PU4752" s="689"/>
      <c r="PV4752" s="691"/>
      <c r="PW4752" s="689"/>
      <c r="PX4752" s="691"/>
      <c r="PY4752" s="689"/>
      <c r="PZ4752" s="691"/>
      <c r="QA4752" s="689"/>
      <c r="QB4752" s="691"/>
      <c r="QC4752" s="689"/>
      <c r="QD4752" s="691"/>
      <c r="QE4752" s="689"/>
      <c r="QF4752" s="691"/>
      <c r="QG4752" s="689"/>
      <c r="QH4752" s="691"/>
      <c r="QI4752" s="689"/>
      <c r="QJ4752" s="691"/>
      <c r="QK4752" s="689"/>
      <c r="QL4752" s="691"/>
      <c r="QM4752" s="689"/>
      <c r="QN4752" s="691"/>
      <c r="QO4752" s="689"/>
      <c r="QP4752" s="691"/>
      <c r="QQ4752" s="689"/>
      <c r="QR4752" s="691"/>
      <c r="QS4752" s="689"/>
      <c r="QT4752" s="691"/>
      <c r="QU4752" s="689"/>
      <c r="QV4752" s="691"/>
      <c r="QW4752" s="689"/>
      <c r="QX4752" s="691"/>
      <c r="QY4752" s="689"/>
      <c r="QZ4752" s="691"/>
      <c r="RA4752" s="689"/>
      <c r="RB4752" s="691"/>
      <c r="RC4752" s="689"/>
      <c r="RD4752" s="691"/>
      <c r="RE4752" s="689"/>
      <c r="RF4752" s="691"/>
      <c r="RG4752" s="689"/>
      <c r="RH4752" s="691"/>
      <c r="RI4752" s="689"/>
      <c r="RJ4752" s="691"/>
      <c r="RK4752" s="689"/>
      <c r="RL4752" s="691"/>
      <c r="RM4752" s="689"/>
      <c r="RN4752" s="691"/>
      <c r="RO4752" s="689"/>
      <c r="RP4752" s="691"/>
      <c r="RQ4752" s="689"/>
      <c r="RR4752" s="691"/>
      <c r="RS4752" s="689"/>
      <c r="RT4752" s="691"/>
      <c r="RU4752" s="689"/>
      <c r="RV4752" s="691"/>
      <c r="RW4752" s="689"/>
      <c r="RX4752" s="691"/>
      <c r="RY4752" s="689"/>
      <c r="RZ4752" s="691"/>
      <c r="SA4752" s="689"/>
      <c r="SB4752" s="691"/>
      <c r="SC4752" s="689"/>
      <c r="SD4752" s="691"/>
      <c r="SE4752" s="689"/>
      <c r="SF4752" s="691"/>
      <c r="SG4752" s="689"/>
      <c r="SH4752" s="691"/>
      <c r="SI4752" s="689"/>
      <c r="SJ4752" s="691"/>
      <c r="SK4752" s="689"/>
      <c r="SL4752" s="691"/>
      <c r="SM4752" s="689"/>
      <c r="SN4752" s="691"/>
      <c r="SO4752" s="689"/>
      <c r="SP4752" s="691"/>
      <c r="SQ4752" s="689"/>
      <c r="SR4752" s="691"/>
      <c r="SS4752" s="689"/>
      <c r="ST4752" s="691"/>
      <c r="SU4752" s="689"/>
      <c r="SV4752" s="691"/>
      <c r="SW4752" s="689"/>
      <c r="SX4752" s="691"/>
      <c r="SY4752" s="689"/>
      <c r="SZ4752" s="691"/>
      <c r="TA4752" s="689"/>
      <c r="TB4752" s="691"/>
      <c r="TC4752" s="689"/>
      <c r="TD4752" s="691"/>
      <c r="TE4752" s="689"/>
      <c r="TF4752" s="691"/>
      <c r="TG4752" s="689"/>
      <c r="TH4752" s="691"/>
      <c r="TI4752" s="689"/>
      <c r="TJ4752" s="691"/>
      <c r="TK4752" s="689"/>
      <c r="TL4752" s="691"/>
      <c r="TM4752" s="689"/>
      <c r="TN4752" s="691"/>
      <c r="TO4752" s="689"/>
      <c r="TP4752" s="691"/>
      <c r="TQ4752" s="689"/>
      <c r="TR4752" s="691"/>
      <c r="TS4752" s="689"/>
      <c r="TT4752" s="691"/>
      <c r="TU4752" s="689"/>
      <c r="TV4752" s="691"/>
      <c r="TW4752" s="689"/>
      <c r="TX4752" s="691"/>
      <c r="TY4752" s="689"/>
      <c r="TZ4752" s="691"/>
      <c r="UA4752" s="689"/>
      <c r="UB4752" s="691"/>
      <c r="UC4752" s="689"/>
      <c r="UD4752" s="691"/>
      <c r="UE4752" s="689"/>
      <c r="UF4752" s="691"/>
      <c r="UG4752" s="689"/>
      <c r="UH4752" s="691"/>
      <c r="UI4752" s="689"/>
      <c r="UJ4752" s="691"/>
      <c r="UK4752" s="689"/>
      <c r="UL4752" s="691"/>
      <c r="UM4752" s="689"/>
      <c r="UN4752" s="691"/>
      <c r="UO4752" s="689"/>
      <c r="UP4752" s="691"/>
      <c r="UQ4752" s="689"/>
      <c r="UR4752" s="691"/>
      <c r="US4752" s="689"/>
      <c r="UT4752" s="691"/>
      <c r="UU4752" s="689"/>
      <c r="UV4752" s="691"/>
      <c r="UW4752" s="689"/>
      <c r="UX4752" s="691"/>
      <c r="UY4752" s="689"/>
      <c r="UZ4752" s="691"/>
      <c r="VA4752" s="689"/>
      <c r="VB4752" s="691"/>
      <c r="VC4752" s="689"/>
      <c r="VD4752" s="691"/>
      <c r="VE4752" s="689"/>
      <c r="VF4752" s="691"/>
      <c r="VG4752" s="689"/>
      <c r="VH4752" s="691"/>
      <c r="VI4752" s="689"/>
      <c r="VJ4752" s="691"/>
      <c r="VK4752" s="689"/>
      <c r="VL4752" s="691"/>
      <c r="VM4752" s="689"/>
      <c r="VN4752" s="691"/>
      <c r="VO4752" s="689"/>
      <c r="VP4752" s="691"/>
      <c r="VQ4752" s="689"/>
      <c r="VR4752" s="691"/>
      <c r="VS4752" s="689"/>
      <c r="VT4752" s="691"/>
      <c r="VU4752" s="689"/>
      <c r="VV4752" s="691"/>
      <c r="VW4752" s="689"/>
      <c r="VX4752" s="691"/>
      <c r="VY4752" s="689"/>
      <c r="VZ4752" s="691"/>
      <c r="WA4752" s="689"/>
      <c r="WB4752" s="691"/>
      <c r="WC4752" s="689"/>
      <c r="WD4752" s="691"/>
      <c r="WE4752" s="689"/>
      <c r="WF4752" s="691"/>
      <c r="WG4752" s="689"/>
      <c r="WH4752" s="691"/>
      <c r="WI4752" s="689"/>
      <c r="WJ4752" s="691"/>
      <c r="WK4752" s="689"/>
      <c r="WL4752" s="691"/>
      <c r="WM4752" s="689"/>
      <c r="WN4752" s="691"/>
      <c r="WO4752" s="689"/>
      <c r="WP4752" s="691"/>
      <c r="WQ4752" s="689"/>
      <c r="WR4752" s="691"/>
      <c r="WS4752" s="689"/>
      <c r="WT4752" s="691"/>
      <c r="WU4752" s="689"/>
      <c r="WV4752" s="691"/>
      <c r="WW4752" s="689"/>
      <c r="WX4752" s="691"/>
      <c r="WY4752" s="689"/>
      <c r="WZ4752" s="691"/>
      <c r="XA4752" s="689"/>
      <c r="XB4752" s="691"/>
      <c r="XC4752" s="689"/>
      <c r="XD4752" s="691"/>
      <c r="XE4752" s="689"/>
      <c r="XF4752" s="691"/>
      <c r="XG4752" s="689"/>
      <c r="XH4752" s="691"/>
      <c r="XI4752" s="689"/>
      <c r="XJ4752" s="691"/>
      <c r="XK4752" s="689"/>
      <c r="XL4752" s="691"/>
      <c r="XM4752" s="689"/>
      <c r="XN4752" s="691"/>
      <c r="XO4752" s="689"/>
      <c r="XP4752" s="691"/>
      <c r="XQ4752" s="689"/>
      <c r="XR4752" s="691"/>
      <c r="XS4752" s="689"/>
      <c r="XT4752" s="691"/>
      <c r="XU4752" s="689"/>
      <c r="XV4752" s="691"/>
      <c r="XW4752" s="689"/>
      <c r="XX4752" s="691"/>
      <c r="XY4752" s="689"/>
      <c r="XZ4752" s="691"/>
      <c r="YA4752" s="689"/>
      <c r="YB4752" s="691"/>
      <c r="YC4752" s="689"/>
      <c r="YD4752" s="691"/>
      <c r="YE4752" s="689"/>
      <c r="YF4752" s="691"/>
      <c r="YG4752" s="689"/>
      <c r="YH4752" s="691"/>
      <c r="YI4752" s="689"/>
      <c r="YJ4752" s="691"/>
      <c r="YK4752" s="689"/>
      <c r="YL4752" s="691"/>
      <c r="YM4752" s="689"/>
      <c r="YN4752" s="691"/>
      <c r="YO4752" s="689"/>
      <c r="YP4752" s="691"/>
      <c r="YQ4752" s="689"/>
      <c r="YR4752" s="691"/>
      <c r="YS4752" s="689"/>
      <c r="YT4752" s="691"/>
      <c r="YU4752" s="689"/>
      <c r="YV4752" s="691"/>
      <c r="YW4752" s="689"/>
      <c r="YX4752" s="691"/>
      <c r="YY4752" s="689"/>
      <c r="YZ4752" s="691"/>
      <c r="ZA4752" s="689"/>
      <c r="ZB4752" s="691"/>
      <c r="ZC4752" s="689"/>
      <c r="ZD4752" s="691"/>
      <c r="ZE4752" s="689"/>
      <c r="ZF4752" s="691"/>
      <c r="ZG4752" s="689"/>
      <c r="ZH4752" s="691"/>
      <c r="ZI4752" s="689"/>
      <c r="ZJ4752" s="691"/>
      <c r="ZK4752" s="689"/>
      <c r="ZL4752" s="691"/>
      <c r="ZM4752" s="689"/>
      <c r="ZN4752" s="691"/>
      <c r="ZO4752" s="689"/>
      <c r="ZP4752" s="691"/>
      <c r="ZQ4752" s="689"/>
      <c r="ZR4752" s="691"/>
      <c r="ZS4752" s="689"/>
      <c r="ZT4752" s="691"/>
      <c r="ZU4752" s="689"/>
      <c r="ZV4752" s="691"/>
      <c r="ZW4752" s="689"/>
      <c r="ZX4752" s="691"/>
      <c r="ZY4752" s="689"/>
      <c r="ZZ4752" s="691"/>
      <c r="AAA4752" s="689"/>
      <c r="AAB4752" s="691"/>
      <c r="AAC4752" s="689"/>
      <c r="AAD4752" s="691"/>
      <c r="AAE4752" s="689"/>
      <c r="AAF4752" s="691"/>
      <c r="AAG4752" s="689"/>
      <c r="AAH4752" s="691"/>
      <c r="AAI4752" s="689"/>
      <c r="AAJ4752" s="691"/>
      <c r="AAK4752" s="689"/>
      <c r="AAL4752" s="691"/>
      <c r="AAM4752" s="689"/>
      <c r="AAN4752" s="691"/>
      <c r="AAO4752" s="689"/>
      <c r="AAP4752" s="691"/>
      <c r="AAQ4752" s="689"/>
      <c r="AAR4752" s="691"/>
      <c r="AAS4752" s="689"/>
      <c r="AAT4752" s="691"/>
      <c r="AAU4752" s="689"/>
      <c r="AAV4752" s="691"/>
      <c r="AAW4752" s="689"/>
      <c r="AAX4752" s="691"/>
      <c r="AAY4752" s="689"/>
      <c r="AAZ4752" s="691"/>
      <c r="ABA4752" s="689"/>
      <c r="ABB4752" s="691"/>
      <c r="ABC4752" s="689"/>
      <c r="ABD4752" s="691"/>
      <c r="ABE4752" s="689"/>
      <c r="ABF4752" s="691"/>
      <c r="ABG4752" s="689"/>
      <c r="ABH4752" s="691"/>
      <c r="ABI4752" s="689"/>
      <c r="ABJ4752" s="691"/>
      <c r="ABK4752" s="689"/>
      <c r="ABL4752" s="691"/>
      <c r="ABM4752" s="689"/>
      <c r="ABN4752" s="691"/>
      <c r="ABO4752" s="689"/>
      <c r="ABP4752" s="691"/>
      <c r="ABQ4752" s="689"/>
      <c r="ABR4752" s="691"/>
      <c r="ABS4752" s="689"/>
      <c r="ABT4752" s="691"/>
      <c r="ABU4752" s="689"/>
      <c r="ABV4752" s="691"/>
      <c r="ABW4752" s="689"/>
      <c r="ABX4752" s="691"/>
      <c r="ABY4752" s="689"/>
      <c r="ABZ4752" s="691"/>
      <c r="ACA4752" s="689"/>
      <c r="ACB4752" s="691"/>
      <c r="ACC4752" s="689"/>
      <c r="ACD4752" s="691"/>
      <c r="ACE4752" s="689"/>
      <c r="ACF4752" s="691"/>
      <c r="ACG4752" s="689"/>
      <c r="ACH4752" s="691"/>
      <c r="ACI4752" s="689"/>
      <c r="ACJ4752" s="691"/>
      <c r="ACK4752" s="689"/>
      <c r="ACL4752" s="691"/>
      <c r="ACM4752" s="689"/>
      <c r="ACN4752" s="691"/>
      <c r="ACO4752" s="689"/>
      <c r="ACP4752" s="691"/>
      <c r="ACQ4752" s="689"/>
      <c r="ACR4752" s="691"/>
      <c r="ACS4752" s="689"/>
      <c r="ACT4752" s="691"/>
      <c r="ACU4752" s="689"/>
      <c r="ACV4752" s="691"/>
      <c r="ACW4752" s="689"/>
      <c r="ACX4752" s="691"/>
      <c r="ACY4752" s="689"/>
      <c r="ACZ4752" s="691"/>
      <c r="ADA4752" s="689"/>
      <c r="ADB4752" s="691"/>
      <c r="ADC4752" s="689"/>
      <c r="ADD4752" s="691"/>
      <c r="ADE4752" s="689"/>
      <c r="ADF4752" s="691"/>
      <c r="ADG4752" s="689"/>
      <c r="ADH4752" s="691"/>
      <c r="ADI4752" s="689"/>
      <c r="ADJ4752" s="691"/>
      <c r="ADK4752" s="689"/>
      <c r="ADL4752" s="691"/>
      <c r="ADM4752" s="689"/>
      <c r="ADN4752" s="691"/>
      <c r="ADO4752" s="689"/>
      <c r="ADP4752" s="691"/>
      <c r="ADQ4752" s="689"/>
      <c r="ADR4752" s="691"/>
      <c r="ADS4752" s="689"/>
      <c r="ADT4752" s="691"/>
      <c r="ADU4752" s="689"/>
      <c r="ADV4752" s="691"/>
      <c r="ADW4752" s="689"/>
      <c r="ADX4752" s="691"/>
      <c r="ADY4752" s="689"/>
      <c r="ADZ4752" s="691"/>
      <c r="AEA4752" s="689"/>
      <c r="AEB4752" s="691"/>
      <c r="AEC4752" s="689"/>
      <c r="AED4752" s="691"/>
      <c r="AEE4752" s="689"/>
      <c r="AEF4752" s="691"/>
      <c r="AEG4752" s="689"/>
      <c r="AEH4752" s="691"/>
      <c r="AEI4752" s="689"/>
      <c r="AEJ4752" s="691"/>
      <c r="AEK4752" s="689"/>
      <c r="AEL4752" s="691"/>
      <c r="AEM4752" s="689"/>
      <c r="AEN4752" s="691"/>
      <c r="AEO4752" s="689"/>
      <c r="AEP4752" s="691"/>
      <c r="AEQ4752" s="689"/>
      <c r="AER4752" s="691"/>
      <c r="AES4752" s="689"/>
      <c r="AET4752" s="691"/>
      <c r="AEU4752" s="689"/>
      <c r="AEV4752" s="691"/>
      <c r="AEW4752" s="689"/>
      <c r="AEX4752" s="691"/>
      <c r="AEY4752" s="689"/>
      <c r="AEZ4752" s="691"/>
      <c r="AFA4752" s="689"/>
      <c r="AFB4752" s="691"/>
      <c r="AFC4752" s="689"/>
      <c r="AFD4752" s="691"/>
      <c r="AFE4752" s="689"/>
      <c r="AFF4752" s="691"/>
      <c r="AFG4752" s="689"/>
      <c r="AFH4752" s="691"/>
      <c r="AFI4752" s="689"/>
      <c r="AFJ4752" s="691"/>
      <c r="AFK4752" s="689"/>
      <c r="AFL4752" s="691"/>
      <c r="AFM4752" s="689"/>
      <c r="AFN4752" s="691"/>
      <c r="AFO4752" s="689"/>
      <c r="AFP4752" s="691"/>
      <c r="AFQ4752" s="689"/>
      <c r="AFR4752" s="691"/>
      <c r="AFS4752" s="689"/>
      <c r="AFT4752" s="691"/>
      <c r="AFU4752" s="689"/>
      <c r="AFV4752" s="691"/>
      <c r="AFW4752" s="689"/>
      <c r="AFX4752" s="691"/>
      <c r="AFY4752" s="689"/>
      <c r="AFZ4752" s="691"/>
      <c r="AGA4752" s="689"/>
      <c r="AGB4752" s="691"/>
      <c r="AGC4752" s="689"/>
      <c r="AGD4752" s="691"/>
      <c r="AGE4752" s="689"/>
      <c r="AGF4752" s="691"/>
      <c r="AGG4752" s="689"/>
      <c r="AGH4752" s="691"/>
      <c r="AGI4752" s="689"/>
      <c r="AGJ4752" s="691"/>
      <c r="AGK4752" s="689"/>
      <c r="AGL4752" s="691"/>
      <c r="AGM4752" s="689"/>
      <c r="AGN4752" s="691"/>
      <c r="AGO4752" s="689"/>
      <c r="AGP4752" s="691"/>
      <c r="AGQ4752" s="689"/>
      <c r="AGR4752" s="691"/>
      <c r="AGS4752" s="689"/>
      <c r="AGT4752" s="691"/>
      <c r="AGU4752" s="689"/>
      <c r="AGV4752" s="691"/>
      <c r="AGW4752" s="689"/>
      <c r="AGX4752" s="691"/>
      <c r="AGY4752" s="689"/>
      <c r="AGZ4752" s="691"/>
      <c r="AHA4752" s="689"/>
      <c r="AHB4752" s="691"/>
      <c r="AHC4752" s="689"/>
      <c r="AHD4752" s="691"/>
      <c r="AHE4752" s="689"/>
      <c r="AHF4752" s="691"/>
      <c r="AHG4752" s="689"/>
      <c r="AHH4752" s="691"/>
      <c r="AHI4752" s="689"/>
      <c r="AHJ4752" s="691"/>
      <c r="AHK4752" s="689"/>
      <c r="AHL4752" s="691"/>
      <c r="AHM4752" s="689"/>
      <c r="AHN4752" s="691"/>
      <c r="AHO4752" s="689"/>
      <c r="AHP4752" s="691"/>
      <c r="AHQ4752" s="689"/>
      <c r="AHR4752" s="691"/>
      <c r="AHS4752" s="689"/>
      <c r="AHT4752" s="691"/>
      <c r="AHU4752" s="689"/>
      <c r="AHV4752" s="691"/>
      <c r="AHW4752" s="689"/>
      <c r="AHX4752" s="691"/>
      <c r="AHY4752" s="689"/>
      <c r="AHZ4752" s="691"/>
      <c r="AIA4752" s="689"/>
      <c r="AIB4752" s="691"/>
      <c r="AIC4752" s="689"/>
      <c r="AID4752" s="691"/>
      <c r="AIE4752" s="689"/>
      <c r="AIF4752" s="691"/>
      <c r="AIG4752" s="689"/>
      <c r="AIH4752" s="691"/>
      <c r="AII4752" s="689"/>
      <c r="AIJ4752" s="691"/>
      <c r="AIK4752" s="689"/>
      <c r="AIL4752" s="691"/>
      <c r="AIM4752" s="689"/>
      <c r="AIN4752" s="691"/>
      <c r="AIO4752" s="689"/>
      <c r="AIP4752" s="691"/>
      <c r="AIQ4752" s="689"/>
      <c r="AIR4752" s="691"/>
      <c r="AIS4752" s="689"/>
      <c r="AIT4752" s="691"/>
      <c r="AIU4752" s="689"/>
      <c r="AIV4752" s="691"/>
      <c r="AIW4752" s="689"/>
      <c r="AIX4752" s="691"/>
      <c r="AIY4752" s="689"/>
      <c r="AIZ4752" s="691"/>
      <c r="AJA4752" s="689"/>
      <c r="AJB4752" s="691"/>
      <c r="AJC4752" s="689"/>
      <c r="AJD4752" s="691"/>
      <c r="AJE4752" s="689"/>
      <c r="AJF4752" s="691"/>
      <c r="AJG4752" s="689"/>
      <c r="AJH4752" s="691"/>
      <c r="AJI4752" s="689"/>
      <c r="AJJ4752" s="691"/>
      <c r="AJK4752" s="689"/>
      <c r="AJL4752" s="691"/>
      <c r="AJM4752" s="689"/>
      <c r="AJN4752" s="691"/>
      <c r="AJO4752" s="689"/>
      <c r="AJP4752" s="691"/>
      <c r="AJQ4752" s="689"/>
      <c r="AJR4752" s="691"/>
      <c r="AJS4752" s="689"/>
      <c r="AJT4752" s="691"/>
      <c r="AJU4752" s="689"/>
      <c r="AJV4752" s="691"/>
      <c r="AJW4752" s="689"/>
      <c r="AJX4752" s="691"/>
      <c r="AJY4752" s="689"/>
      <c r="AJZ4752" s="691"/>
      <c r="AKA4752" s="689"/>
      <c r="AKB4752" s="691"/>
      <c r="AKC4752" s="689"/>
      <c r="AKD4752" s="691"/>
      <c r="AKE4752" s="689"/>
      <c r="AKF4752" s="691"/>
      <c r="AKG4752" s="689"/>
      <c r="AKH4752" s="691"/>
      <c r="AKI4752" s="689"/>
      <c r="AKJ4752" s="691"/>
      <c r="AKK4752" s="689"/>
      <c r="AKL4752" s="691"/>
      <c r="AKM4752" s="689"/>
      <c r="AKN4752" s="691"/>
      <c r="AKO4752" s="689"/>
      <c r="AKP4752" s="691"/>
      <c r="AKQ4752" s="689"/>
      <c r="AKR4752" s="691"/>
      <c r="AKS4752" s="689"/>
      <c r="AKT4752" s="691"/>
      <c r="AKU4752" s="689"/>
      <c r="AKV4752" s="691"/>
      <c r="AKW4752" s="689"/>
      <c r="AKX4752" s="691"/>
      <c r="AKY4752" s="689"/>
      <c r="AKZ4752" s="691"/>
      <c r="ALA4752" s="689"/>
      <c r="ALB4752" s="691"/>
      <c r="ALC4752" s="689"/>
      <c r="ALD4752" s="691"/>
      <c r="ALE4752" s="689"/>
      <c r="ALF4752" s="691"/>
      <c r="ALG4752" s="689"/>
      <c r="ALH4752" s="691"/>
      <c r="ALI4752" s="689"/>
      <c r="ALJ4752" s="691"/>
      <c r="ALK4752" s="689"/>
      <c r="ALL4752" s="691"/>
      <c r="ALM4752" s="689"/>
      <c r="ALN4752" s="691"/>
      <c r="ALO4752" s="689"/>
      <c r="ALP4752" s="691"/>
      <c r="ALQ4752" s="689"/>
      <c r="ALR4752" s="691"/>
      <c r="ALS4752" s="689"/>
      <c r="ALT4752" s="691"/>
      <c r="ALU4752" s="689"/>
      <c r="ALV4752" s="691"/>
      <c r="ALW4752" s="689"/>
      <c r="ALX4752" s="691"/>
      <c r="ALY4752" s="689"/>
      <c r="ALZ4752" s="691"/>
      <c r="AMA4752" s="689"/>
      <c r="AMB4752" s="691"/>
      <c r="AMC4752" s="689"/>
      <c r="AMD4752" s="691"/>
      <c r="AME4752" s="689"/>
      <c r="AMF4752" s="691"/>
      <c r="AMG4752" s="689"/>
      <c r="AMH4752" s="691"/>
      <c r="AMI4752" s="689"/>
      <c r="AMJ4752" s="691"/>
      <c r="AMK4752" s="689"/>
      <c r="AML4752" s="691"/>
      <c r="AMM4752" s="689"/>
      <c r="AMN4752" s="691"/>
      <c r="AMO4752" s="689"/>
      <c r="AMP4752" s="691"/>
      <c r="AMQ4752" s="689"/>
      <c r="AMR4752" s="691"/>
      <c r="AMS4752" s="689"/>
      <c r="AMT4752" s="691"/>
      <c r="AMU4752" s="689"/>
      <c r="AMV4752" s="691"/>
      <c r="AMW4752" s="689"/>
      <c r="AMX4752" s="691"/>
      <c r="AMY4752" s="689"/>
      <c r="AMZ4752" s="691"/>
      <c r="ANA4752" s="689"/>
      <c r="ANB4752" s="691"/>
      <c r="ANC4752" s="689"/>
      <c r="AND4752" s="691"/>
      <c r="ANE4752" s="689"/>
      <c r="ANF4752" s="691"/>
      <c r="ANG4752" s="689"/>
      <c r="ANH4752" s="691"/>
      <c r="ANI4752" s="689"/>
      <c r="ANJ4752" s="691"/>
      <c r="ANK4752" s="689"/>
      <c r="ANL4752" s="691"/>
      <c r="ANM4752" s="689"/>
      <c r="ANN4752" s="691"/>
      <c r="ANO4752" s="689"/>
      <c r="ANP4752" s="691"/>
      <c r="ANQ4752" s="689"/>
      <c r="ANR4752" s="691"/>
      <c r="ANS4752" s="689"/>
      <c r="ANT4752" s="691"/>
      <c r="ANU4752" s="689"/>
      <c r="ANV4752" s="691"/>
      <c r="ANW4752" s="689"/>
      <c r="ANX4752" s="691"/>
      <c r="ANY4752" s="689"/>
      <c r="ANZ4752" s="691"/>
      <c r="AOA4752" s="689"/>
      <c r="AOB4752" s="691"/>
      <c r="AOC4752" s="689"/>
      <c r="AOD4752" s="691"/>
      <c r="AOE4752" s="689"/>
      <c r="AOF4752" s="691"/>
      <c r="AOG4752" s="689"/>
      <c r="AOH4752" s="691"/>
      <c r="AOI4752" s="689"/>
      <c r="AOJ4752" s="691"/>
      <c r="AOK4752" s="689"/>
      <c r="AOL4752" s="691"/>
      <c r="AOM4752" s="689"/>
      <c r="AON4752" s="691"/>
      <c r="AOO4752" s="689"/>
      <c r="AOP4752" s="691"/>
      <c r="AOQ4752" s="689"/>
      <c r="AOR4752" s="691"/>
      <c r="AOS4752" s="689"/>
      <c r="AOT4752" s="691"/>
      <c r="AOU4752" s="689"/>
      <c r="AOV4752" s="691"/>
      <c r="AOW4752" s="689"/>
      <c r="AOX4752" s="691"/>
      <c r="AOY4752" s="689"/>
      <c r="AOZ4752" s="691"/>
      <c r="APA4752" s="689"/>
      <c r="APB4752" s="691"/>
      <c r="APC4752" s="689"/>
      <c r="APD4752" s="691"/>
      <c r="APE4752" s="689"/>
      <c r="APF4752" s="691"/>
      <c r="APG4752" s="689"/>
      <c r="APH4752" s="691"/>
      <c r="API4752" s="689"/>
      <c r="APJ4752" s="691"/>
      <c r="APK4752" s="689"/>
      <c r="APL4752" s="691"/>
      <c r="APM4752" s="689"/>
      <c r="APN4752" s="691"/>
      <c r="APO4752" s="689"/>
      <c r="APP4752" s="691"/>
      <c r="APQ4752" s="689"/>
      <c r="APR4752" s="691"/>
      <c r="APS4752" s="689"/>
      <c r="APT4752" s="691"/>
      <c r="APU4752" s="689"/>
      <c r="APV4752" s="691"/>
      <c r="APW4752" s="689"/>
      <c r="APX4752" s="691"/>
      <c r="APY4752" s="689"/>
      <c r="APZ4752" s="691"/>
      <c r="AQA4752" s="689"/>
      <c r="AQB4752" s="691"/>
      <c r="AQC4752" s="689"/>
      <c r="AQD4752" s="691"/>
      <c r="AQE4752" s="689"/>
      <c r="AQF4752" s="691"/>
      <c r="AQG4752" s="689"/>
      <c r="AQH4752" s="691"/>
      <c r="AQI4752" s="689"/>
      <c r="AQJ4752" s="691"/>
      <c r="AQK4752" s="689"/>
      <c r="AQL4752" s="691"/>
      <c r="AQM4752" s="689"/>
      <c r="AQN4752" s="691"/>
      <c r="AQO4752" s="689"/>
      <c r="AQP4752" s="691"/>
      <c r="AQQ4752" s="689"/>
      <c r="AQR4752" s="691"/>
      <c r="AQS4752" s="689"/>
      <c r="AQT4752" s="691"/>
      <c r="AQU4752" s="689"/>
      <c r="AQV4752" s="691"/>
      <c r="AQW4752" s="689"/>
      <c r="AQX4752" s="691"/>
      <c r="AQY4752" s="689"/>
      <c r="AQZ4752" s="691"/>
      <c r="ARA4752" s="689"/>
      <c r="ARB4752" s="691"/>
      <c r="ARC4752" s="689"/>
      <c r="ARD4752" s="691"/>
      <c r="ARE4752" s="689"/>
      <c r="ARF4752" s="691"/>
      <c r="ARG4752" s="689"/>
      <c r="ARH4752" s="691"/>
      <c r="ARI4752" s="689"/>
      <c r="ARJ4752" s="691"/>
      <c r="ARK4752" s="689"/>
      <c r="ARL4752" s="691"/>
      <c r="ARM4752" s="689"/>
      <c r="ARN4752" s="691"/>
      <c r="ARO4752" s="689"/>
      <c r="ARP4752" s="691"/>
      <c r="ARQ4752" s="689"/>
      <c r="ARR4752" s="691"/>
      <c r="ARS4752" s="689"/>
      <c r="ART4752" s="691"/>
      <c r="ARU4752" s="689"/>
      <c r="ARV4752" s="691"/>
      <c r="ARW4752" s="689"/>
      <c r="ARX4752" s="691"/>
      <c r="ARY4752" s="689"/>
      <c r="ARZ4752" s="691"/>
      <c r="ASA4752" s="689"/>
      <c r="ASB4752" s="691"/>
      <c r="ASC4752" s="689"/>
      <c r="ASD4752" s="691"/>
      <c r="ASE4752" s="689"/>
      <c r="ASF4752" s="691"/>
      <c r="ASG4752" s="689"/>
      <c r="ASH4752" s="691"/>
      <c r="ASI4752" s="689"/>
      <c r="ASJ4752" s="691"/>
      <c r="ASK4752" s="689"/>
      <c r="ASL4752" s="691"/>
      <c r="ASM4752" s="689"/>
      <c r="ASN4752" s="691"/>
      <c r="ASO4752" s="689"/>
      <c r="ASP4752" s="691"/>
      <c r="ASQ4752" s="689"/>
      <c r="ASR4752" s="691"/>
      <c r="ASS4752" s="689"/>
      <c r="AST4752" s="691"/>
      <c r="ASU4752" s="689"/>
      <c r="ASV4752" s="691"/>
      <c r="ASW4752" s="689"/>
      <c r="ASX4752" s="691"/>
      <c r="ASY4752" s="689"/>
      <c r="ASZ4752" s="691"/>
      <c r="ATA4752" s="689"/>
      <c r="ATB4752" s="691"/>
      <c r="ATC4752" s="689"/>
      <c r="ATD4752" s="691"/>
      <c r="ATE4752" s="689"/>
      <c r="ATF4752" s="691"/>
      <c r="ATG4752" s="689"/>
      <c r="ATH4752" s="691"/>
      <c r="ATI4752" s="689"/>
      <c r="ATJ4752" s="691"/>
      <c r="ATK4752" s="689"/>
      <c r="ATL4752" s="691"/>
      <c r="ATM4752" s="689"/>
      <c r="ATN4752" s="691"/>
      <c r="ATO4752" s="689"/>
      <c r="ATP4752" s="691"/>
      <c r="ATQ4752" s="689"/>
      <c r="ATR4752" s="691"/>
      <c r="ATS4752" s="689"/>
      <c r="ATT4752" s="691"/>
      <c r="ATU4752" s="689"/>
      <c r="ATV4752" s="691"/>
      <c r="ATW4752" s="689"/>
      <c r="ATX4752" s="691"/>
      <c r="ATY4752" s="689"/>
      <c r="ATZ4752" s="691"/>
      <c r="AUA4752" s="689"/>
      <c r="AUB4752" s="691"/>
      <c r="AUC4752" s="689"/>
      <c r="AUD4752" s="691"/>
      <c r="AUE4752" s="689"/>
      <c r="AUF4752" s="691"/>
      <c r="AUG4752" s="689"/>
      <c r="AUH4752" s="691"/>
      <c r="AUI4752" s="689"/>
      <c r="AUJ4752" s="691"/>
      <c r="AUK4752" s="689"/>
      <c r="AUL4752" s="691"/>
      <c r="AUM4752" s="689"/>
      <c r="AUN4752" s="691"/>
      <c r="AUO4752" s="689"/>
      <c r="AUP4752" s="691"/>
      <c r="AUQ4752" s="689"/>
      <c r="AUR4752" s="691"/>
      <c r="AUS4752" s="689"/>
      <c r="AUT4752" s="691"/>
      <c r="AUU4752" s="689"/>
      <c r="AUV4752" s="691"/>
      <c r="AUW4752" s="689"/>
      <c r="AUX4752" s="691"/>
      <c r="AUY4752" s="689"/>
      <c r="AUZ4752" s="691"/>
      <c r="AVA4752" s="689"/>
      <c r="AVB4752" s="691"/>
      <c r="AVC4752" s="689"/>
      <c r="AVD4752" s="691"/>
      <c r="AVE4752" s="689"/>
      <c r="AVF4752" s="691"/>
      <c r="AVG4752" s="689"/>
      <c r="AVH4752" s="691"/>
      <c r="AVI4752" s="689"/>
      <c r="AVJ4752" s="691"/>
      <c r="AVK4752" s="689"/>
      <c r="AVL4752" s="691"/>
      <c r="AVM4752" s="689"/>
      <c r="AVN4752" s="691"/>
      <c r="AVO4752" s="689"/>
      <c r="AVP4752" s="691"/>
      <c r="AVQ4752" s="689"/>
      <c r="AVR4752" s="691"/>
      <c r="AVS4752" s="689"/>
      <c r="AVT4752" s="691"/>
      <c r="AVU4752" s="689"/>
      <c r="AVV4752" s="691"/>
      <c r="AVW4752" s="689"/>
      <c r="AVX4752" s="691"/>
      <c r="AVY4752" s="689"/>
      <c r="AVZ4752" s="691"/>
      <c r="AWA4752" s="689"/>
      <c r="AWB4752" s="691"/>
      <c r="AWC4752" s="689"/>
      <c r="AWD4752" s="691"/>
      <c r="AWE4752" s="689"/>
      <c r="AWF4752" s="691"/>
      <c r="AWG4752" s="689"/>
      <c r="AWH4752" s="691"/>
      <c r="AWI4752" s="689"/>
      <c r="AWJ4752" s="691"/>
      <c r="AWK4752" s="689"/>
      <c r="AWL4752" s="691"/>
      <c r="AWM4752" s="689"/>
      <c r="AWN4752" s="691"/>
      <c r="AWO4752" s="689"/>
      <c r="AWP4752" s="691"/>
      <c r="AWQ4752" s="689"/>
      <c r="AWR4752" s="691"/>
      <c r="AWS4752" s="689"/>
      <c r="AWT4752" s="691"/>
      <c r="AWU4752" s="689"/>
      <c r="AWV4752" s="691"/>
      <c r="AWW4752" s="689"/>
      <c r="AWX4752" s="691"/>
      <c r="AWY4752" s="689"/>
      <c r="AWZ4752" s="691"/>
      <c r="AXA4752" s="689"/>
      <c r="AXB4752" s="691"/>
      <c r="AXC4752" s="689"/>
      <c r="AXD4752" s="691"/>
      <c r="AXE4752" s="689"/>
      <c r="AXF4752" s="691"/>
      <c r="AXG4752" s="689"/>
      <c r="AXH4752" s="691"/>
      <c r="AXI4752" s="689"/>
      <c r="AXJ4752" s="691"/>
      <c r="AXK4752" s="689"/>
      <c r="AXL4752" s="691"/>
      <c r="AXM4752" s="689"/>
      <c r="AXN4752" s="691"/>
      <c r="AXO4752" s="689"/>
      <c r="AXP4752" s="691"/>
      <c r="AXQ4752" s="689"/>
      <c r="AXR4752" s="691"/>
      <c r="AXS4752" s="689"/>
      <c r="AXT4752" s="691"/>
      <c r="AXU4752" s="689"/>
      <c r="AXV4752" s="691"/>
      <c r="AXW4752" s="689"/>
      <c r="AXX4752" s="691"/>
      <c r="AXY4752" s="689"/>
      <c r="AXZ4752" s="691"/>
      <c r="AYA4752" s="689"/>
      <c r="AYB4752" s="691"/>
      <c r="AYC4752" s="689"/>
      <c r="AYD4752" s="691"/>
      <c r="AYE4752" s="689"/>
      <c r="AYF4752" s="691"/>
      <c r="AYG4752" s="689"/>
      <c r="AYH4752" s="691"/>
      <c r="AYI4752" s="689"/>
      <c r="AYJ4752" s="691"/>
      <c r="AYK4752" s="689"/>
      <c r="AYL4752" s="691"/>
      <c r="AYM4752" s="689"/>
      <c r="AYN4752" s="691"/>
      <c r="AYO4752" s="689"/>
      <c r="AYP4752" s="691"/>
      <c r="AYQ4752" s="689"/>
      <c r="AYR4752" s="691"/>
      <c r="AYS4752" s="689"/>
      <c r="AYT4752" s="691"/>
      <c r="AYU4752" s="689"/>
      <c r="AYV4752" s="691"/>
      <c r="AYW4752" s="689"/>
      <c r="AYX4752" s="691"/>
      <c r="AYY4752" s="689"/>
      <c r="AYZ4752" s="691"/>
      <c r="AZA4752" s="689"/>
      <c r="AZB4752" s="691"/>
      <c r="AZC4752" s="689"/>
      <c r="AZD4752" s="691"/>
      <c r="AZE4752" s="689"/>
      <c r="AZF4752" s="691"/>
      <c r="AZG4752" s="689"/>
      <c r="AZH4752" s="691"/>
      <c r="AZI4752" s="689"/>
      <c r="AZJ4752" s="691"/>
      <c r="AZK4752" s="689"/>
      <c r="AZL4752" s="691"/>
      <c r="AZM4752" s="689"/>
      <c r="AZN4752" s="691"/>
      <c r="AZO4752" s="689"/>
      <c r="AZP4752" s="691"/>
      <c r="AZQ4752" s="689"/>
      <c r="AZR4752" s="691"/>
      <c r="AZS4752" s="689"/>
      <c r="AZT4752" s="691"/>
      <c r="AZU4752" s="689"/>
      <c r="AZV4752" s="691"/>
      <c r="AZW4752" s="689"/>
      <c r="AZX4752" s="691"/>
      <c r="AZY4752" s="689"/>
      <c r="AZZ4752" s="691"/>
      <c r="BAA4752" s="689"/>
      <c r="BAB4752" s="691"/>
      <c r="BAC4752" s="689"/>
      <c r="BAD4752" s="691"/>
      <c r="BAE4752" s="689"/>
      <c r="BAF4752" s="691"/>
      <c r="BAG4752" s="689"/>
      <c r="BAH4752" s="691"/>
      <c r="BAI4752" s="689"/>
      <c r="BAJ4752" s="691"/>
      <c r="BAK4752" s="689"/>
      <c r="BAL4752" s="691"/>
      <c r="BAM4752" s="689"/>
      <c r="BAN4752" s="691"/>
      <c r="BAO4752" s="689"/>
      <c r="BAP4752" s="691"/>
      <c r="BAQ4752" s="689"/>
      <c r="BAR4752" s="691"/>
      <c r="BAS4752" s="689"/>
      <c r="BAT4752" s="691"/>
      <c r="BAU4752" s="689"/>
      <c r="BAV4752" s="691"/>
      <c r="BAW4752" s="689"/>
      <c r="BAX4752" s="691"/>
      <c r="BAY4752" s="689"/>
      <c r="BAZ4752" s="691"/>
      <c r="BBA4752" s="689"/>
      <c r="BBB4752" s="691"/>
      <c r="BBC4752" s="689"/>
      <c r="BBD4752" s="691"/>
      <c r="BBE4752" s="689"/>
      <c r="BBF4752" s="691"/>
      <c r="BBG4752" s="689"/>
      <c r="BBH4752" s="691"/>
      <c r="BBI4752" s="689"/>
      <c r="BBJ4752" s="691"/>
      <c r="BBK4752" s="689"/>
      <c r="BBL4752" s="691"/>
      <c r="BBM4752" s="689"/>
      <c r="BBN4752" s="691"/>
      <c r="BBO4752" s="689"/>
      <c r="BBP4752" s="691"/>
      <c r="BBQ4752" s="689"/>
      <c r="BBR4752" s="691"/>
      <c r="BBS4752" s="689"/>
      <c r="BBT4752" s="691"/>
      <c r="BBU4752" s="689"/>
      <c r="BBV4752" s="691"/>
      <c r="BBW4752" s="689"/>
      <c r="BBX4752" s="691"/>
      <c r="BBY4752" s="689"/>
      <c r="BBZ4752" s="691"/>
      <c r="BCA4752" s="689"/>
      <c r="BCB4752" s="691"/>
      <c r="BCC4752" s="689"/>
      <c r="BCD4752" s="691"/>
      <c r="BCE4752" s="689"/>
      <c r="BCF4752" s="691"/>
      <c r="BCG4752" s="689"/>
      <c r="BCH4752" s="691"/>
      <c r="BCI4752" s="689"/>
      <c r="BCJ4752" s="691"/>
      <c r="BCK4752" s="689"/>
      <c r="BCL4752" s="691"/>
      <c r="BCM4752" s="689"/>
      <c r="BCN4752" s="691"/>
      <c r="BCO4752" s="689"/>
      <c r="BCP4752" s="691"/>
      <c r="BCQ4752" s="689"/>
      <c r="BCR4752" s="691"/>
      <c r="BCS4752" s="689"/>
      <c r="BCT4752" s="691"/>
      <c r="BCU4752" s="689"/>
      <c r="BCV4752" s="691"/>
      <c r="BCW4752" s="689"/>
      <c r="BCX4752" s="691"/>
      <c r="BCY4752" s="689"/>
      <c r="BCZ4752" s="691"/>
      <c r="BDA4752" s="689"/>
      <c r="BDB4752" s="691"/>
      <c r="BDC4752" s="689"/>
      <c r="BDD4752" s="691"/>
      <c r="BDE4752" s="689"/>
      <c r="BDF4752" s="691"/>
      <c r="BDG4752" s="689"/>
      <c r="BDH4752" s="691"/>
      <c r="BDI4752" s="689"/>
      <c r="BDJ4752" s="691"/>
      <c r="BDK4752" s="689"/>
      <c r="BDL4752" s="691"/>
      <c r="BDM4752" s="689"/>
      <c r="BDN4752" s="691"/>
      <c r="BDO4752" s="689"/>
      <c r="BDP4752" s="691"/>
      <c r="BDQ4752" s="689"/>
      <c r="BDR4752" s="691"/>
      <c r="BDS4752" s="689"/>
      <c r="BDT4752" s="691"/>
      <c r="BDU4752" s="689"/>
      <c r="BDV4752" s="691"/>
      <c r="BDW4752" s="689"/>
      <c r="BDX4752" s="691"/>
      <c r="BDY4752" s="689"/>
      <c r="BDZ4752" s="691"/>
      <c r="BEA4752" s="689"/>
      <c r="BEB4752" s="691"/>
      <c r="BEC4752" s="689"/>
      <c r="BED4752" s="691"/>
      <c r="BEE4752" s="689"/>
      <c r="BEF4752" s="691"/>
      <c r="BEG4752" s="689"/>
      <c r="BEH4752" s="691"/>
      <c r="BEI4752" s="689"/>
      <c r="BEJ4752" s="691"/>
      <c r="BEK4752" s="689"/>
      <c r="BEL4752" s="691"/>
      <c r="BEM4752" s="689"/>
      <c r="BEN4752" s="691"/>
      <c r="BEO4752" s="689"/>
      <c r="BEP4752" s="691"/>
      <c r="BEQ4752" s="689"/>
      <c r="BER4752" s="691"/>
      <c r="BES4752" s="689"/>
      <c r="BET4752" s="691"/>
      <c r="BEU4752" s="689"/>
      <c r="BEV4752" s="691"/>
      <c r="BEW4752" s="689"/>
      <c r="BEX4752" s="691"/>
      <c r="BEY4752" s="689"/>
      <c r="BEZ4752" s="691"/>
      <c r="BFA4752" s="689"/>
      <c r="BFB4752" s="691"/>
      <c r="BFC4752" s="689"/>
      <c r="BFD4752" s="691"/>
      <c r="BFE4752" s="689"/>
      <c r="BFF4752" s="691"/>
      <c r="BFG4752" s="689"/>
      <c r="BFH4752" s="691"/>
      <c r="BFI4752" s="689"/>
      <c r="BFJ4752" s="691"/>
      <c r="BFK4752" s="689"/>
      <c r="BFL4752" s="691"/>
      <c r="BFM4752" s="689"/>
      <c r="BFN4752" s="691"/>
      <c r="BFO4752" s="689"/>
      <c r="BFP4752" s="691"/>
      <c r="BFQ4752" s="689"/>
      <c r="BFR4752" s="691"/>
      <c r="BFS4752" s="689"/>
      <c r="BFT4752" s="691"/>
      <c r="BFU4752" s="689"/>
      <c r="BFV4752" s="691"/>
      <c r="BFW4752" s="689"/>
      <c r="BFX4752" s="691"/>
      <c r="BFY4752" s="689"/>
      <c r="BFZ4752" s="691"/>
      <c r="BGA4752" s="689"/>
      <c r="BGB4752" s="691"/>
      <c r="BGC4752" s="689"/>
      <c r="BGD4752" s="691"/>
      <c r="BGE4752" s="689"/>
      <c r="BGF4752" s="691"/>
      <c r="BGG4752" s="689"/>
      <c r="BGH4752" s="691"/>
      <c r="BGI4752" s="689"/>
      <c r="BGJ4752" s="691"/>
      <c r="BGK4752" s="689"/>
      <c r="BGL4752" s="691"/>
      <c r="BGM4752" s="689"/>
      <c r="BGN4752" s="691"/>
      <c r="BGO4752" s="689"/>
      <c r="BGP4752" s="691"/>
      <c r="BGQ4752" s="689"/>
      <c r="BGR4752" s="691"/>
      <c r="BGS4752" s="689"/>
      <c r="BGT4752" s="691"/>
      <c r="BGU4752" s="689"/>
      <c r="BGV4752" s="691"/>
      <c r="BGW4752" s="689"/>
      <c r="BGX4752" s="691"/>
      <c r="BGY4752" s="689"/>
      <c r="BGZ4752" s="691"/>
      <c r="BHA4752" s="689"/>
      <c r="BHB4752" s="691"/>
      <c r="BHC4752" s="689"/>
      <c r="BHD4752" s="691"/>
      <c r="BHE4752" s="689"/>
      <c r="BHF4752" s="691"/>
      <c r="BHG4752" s="689"/>
      <c r="BHH4752" s="691"/>
      <c r="BHI4752" s="689"/>
      <c r="BHJ4752" s="691"/>
      <c r="BHK4752" s="689"/>
      <c r="BHL4752" s="691"/>
      <c r="BHM4752" s="689"/>
      <c r="BHN4752" s="691"/>
      <c r="BHO4752" s="689"/>
      <c r="BHP4752" s="691"/>
      <c r="BHQ4752" s="689"/>
      <c r="BHR4752" s="691"/>
      <c r="BHS4752" s="689"/>
      <c r="BHT4752" s="691"/>
      <c r="BHU4752" s="689"/>
      <c r="BHV4752" s="691"/>
      <c r="BHW4752" s="689"/>
      <c r="BHX4752" s="691"/>
      <c r="BHY4752" s="689"/>
      <c r="BHZ4752" s="691"/>
      <c r="BIA4752" s="689"/>
      <c r="BIB4752" s="691"/>
      <c r="BIC4752" s="689"/>
      <c r="BID4752" s="691"/>
      <c r="BIE4752" s="689"/>
      <c r="BIF4752" s="691"/>
      <c r="BIG4752" s="689"/>
      <c r="BIH4752" s="691"/>
      <c r="BII4752" s="689"/>
      <c r="BIJ4752" s="691"/>
      <c r="BIK4752" s="689"/>
      <c r="BIL4752" s="691"/>
      <c r="BIM4752" s="689"/>
      <c r="BIN4752" s="691"/>
      <c r="BIO4752" s="689"/>
      <c r="BIP4752" s="691"/>
      <c r="BIQ4752" s="689"/>
      <c r="BIR4752" s="691"/>
      <c r="BIS4752" s="689"/>
      <c r="BIT4752" s="691"/>
      <c r="BIU4752" s="689"/>
      <c r="BIV4752" s="691"/>
      <c r="BIW4752" s="689"/>
      <c r="BIX4752" s="691"/>
      <c r="BIY4752" s="689"/>
      <c r="BIZ4752" s="691"/>
      <c r="BJA4752" s="689"/>
      <c r="BJB4752" s="691"/>
      <c r="BJC4752" s="689"/>
      <c r="BJD4752" s="691"/>
      <c r="BJE4752" s="689"/>
      <c r="BJF4752" s="691"/>
      <c r="BJG4752" s="689"/>
      <c r="BJH4752" s="691"/>
      <c r="BJI4752" s="689"/>
      <c r="BJJ4752" s="691"/>
      <c r="BJK4752" s="689"/>
      <c r="BJL4752" s="691"/>
      <c r="BJM4752" s="689"/>
      <c r="BJN4752" s="691"/>
      <c r="BJO4752" s="689"/>
      <c r="BJP4752" s="691"/>
      <c r="BJQ4752" s="689"/>
      <c r="BJR4752" s="691"/>
      <c r="BJS4752" s="689"/>
      <c r="BJT4752" s="691"/>
      <c r="BJU4752" s="689"/>
      <c r="BJV4752" s="691"/>
      <c r="BJW4752" s="689"/>
      <c r="BJX4752" s="691"/>
      <c r="BJY4752" s="689"/>
      <c r="BJZ4752" s="691"/>
      <c r="BKA4752" s="689"/>
      <c r="BKB4752" s="691"/>
      <c r="BKC4752" s="689"/>
      <c r="BKD4752" s="691"/>
      <c r="BKE4752" s="689"/>
      <c r="BKF4752" s="691"/>
      <c r="BKG4752" s="689"/>
      <c r="BKH4752" s="691"/>
      <c r="BKI4752" s="689"/>
      <c r="BKJ4752" s="691"/>
      <c r="BKK4752" s="689"/>
      <c r="BKL4752" s="691"/>
      <c r="BKM4752" s="689"/>
      <c r="BKN4752" s="691"/>
      <c r="BKO4752" s="689"/>
      <c r="BKP4752" s="691"/>
      <c r="BKQ4752" s="689"/>
      <c r="BKR4752" s="691"/>
      <c r="BKS4752" s="689"/>
      <c r="BKT4752" s="691"/>
      <c r="BKU4752" s="689"/>
      <c r="BKV4752" s="691"/>
      <c r="BKW4752" s="689"/>
      <c r="BKX4752" s="691"/>
      <c r="BKY4752" s="689"/>
      <c r="BKZ4752" s="691"/>
      <c r="BLA4752" s="689"/>
      <c r="BLB4752" s="691"/>
      <c r="BLC4752" s="689"/>
      <c r="BLD4752" s="691"/>
      <c r="BLE4752" s="689"/>
      <c r="BLF4752" s="691"/>
      <c r="BLG4752" s="689"/>
      <c r="BLH4752" s="691"/>
      <c r="BLI4752" s="689"/>
      <c r="BLJ4752" s="691"/>
      <c r="BLK4752" s="689"/>
      <c r="BLL4752" s="691"/>
      <c r="BLM4752" s="689"/>
      <c r="BLN4752" s="691"/>
      <c r="BLO4752" s="689"/>
      <c r="BLP4752" s="691"/>
      <c r="BLQ4752" s="689"/>
      <c r="BLR4752" s="691"/>
      <c r="BLS4752" s="689"/>
      <c r="BLT4752" s="691"/>
      <c r="BLU4752" s="689"/>
      <c r="BLV4752" s="691"/>
      <c r="BLW4752" s="689"/>
      <c r="BLX4752" s="691"/>
      <c r="BLY4752" s="689"/>
      <c r="BLZ4752" s="691"/>
      <c r="BMA4752" s="689"/>
      <c r="BMB4752" s="691"/>
      <c r="BMC4752" s="689"/>
      <c r="BMD4752" s="691"/>
      <c r="BME4752" s="689"/>
      <c r="BMF4752" s="691"/>
      <c r="BMG4752" s="689"/>
      <c r="BMH4752" s="691"/>
      <c r="BMI4752" s="689"/>
      <c r="BMJ4752" s="691"/>
      <c r="BMK4752" s="689"/>
      <c r="BML4752" s="691"/>
      <c r="BMM4752" s="689"/>
      <c r="BMN4752" s="691"/>
      <c r="BMO4752" s="689"/>
      <c r="BMP4752" s="691"/>
      <c r="BMQ4752" s="689"/>
      <c r="BMR4752" s="691"/>
      <c r="BMS4752" s="689"/>
      <c r="BMT4752" s="691"/>
      <c r="BMU4752" s="689"/>
      <c r="BMV4752" s="691"/>
      <c r="BMW4752" s="689"/>
      <c r="BMX4752" s="691"/>
      <c r="BMY4752" s="689"/>
      <c r="BMZ4752" s="691"/>
      <c r="BNA4752" s="689"/>
      <c r="BNB4752" s="691"/>
      <c r="BNC4752" s="689"/>
      <c r="BND4752" s="691"/>
      <c r="BNE4752" s="689"/>
      <c r="BNF4752" s="691"/>
      <c r="BNG4752" s="689"/>
      <c r="BNH4752" s="691"/>
      <c r="BNI4752" s="689"/>
      <c r="BNJ4752" s="691"/>
      <c r="BNK4752" s="689"/>
      <c r="BNL4752" s="691"/>
      <c r="BNM4752" s="689"/>
      <c r="BNN4752" s="691"/>
      <c r="BNO4752" s="689"/>
      <c r="BNP4752" s="691"/>
      <c r="BNQ4752" s="689"/>
      <c r="BNR4752" s="691"/>
      <c r="BNS4752" s="689"/>
      <c r="BNT4752" s="691"/>
      <c r="BNU4752" s="689"/>
      <c r="BNV4752" s="691"/>
      <c r="BNW4752" s="689"/>
      <c r="BNX4752" s="691"/>
      <c r="BNY4752" s="689"/>
      <c r="BNZ4752" s="691"/>
      <c r="BOA4752" s="689"/>
      <c r="BOB4752" s="691"/>
      <c r="BOC4752" s="689"/>
      <c r="BOD4752" s="691"/>
      <c r="BOE4752" s="689"/>
      <c r="BOF4752" s="691"/>
      <c r="BOG4752" s="689"/>
      <c r="BOH4752" s="691"/>
      <c r="BOI4752" s="689"/>
      <c r="BOJ4752" s="691"/>
      <c r="BOK4752" s="689"/>
      <c r="BOL4752" s="691"/>
      <c r="BOM4752" s="689"/>
      <c r="BON4752" s="691"/>
      <c r="BOO4752" s="689"/>
      <c r="BOP4752" s="691"/>
      <c r="BOQ4752" s="689"/>
      <c r="BOR4752" s="691"/>
      <c r="BOS4752" s="689"/>
      <c r="BOT4752" s="691"/>
      <c r="BOU4752" s="689"/>
      <c r="BOV4752" s="691"/>
      <c r="BOW4752" s="689"/>
      <c r="BOX4752" s="691"/>
      <c r="BOY4752" s="689"/>
      <c r="BOZ4752" s="691"/>
      <c r="BPA4752" s="689"/>
      <c r="BPB4752" s="691"/>
      <c r="BPC4752" s="689"/>
      <c r="BPD4752" s="691"/>
      <c r="BPE4752" s="689"/>
      <c r="BPF4752" s="691"/>
      <c r="BPG4752" s="689"/>
      <c r="BPH4752" s="691"/>
      <c r="BPI4752" s="689"/>
      <c r="BPJ4752" s="691"/>
      <c r="BPK4752" s="689"/>
      <c r="BPL4752" s="691"/>
      <c r="BPM4752" s="689"/>
      <c r="BPN4752" s="691"/>
      <c r="BPO4752" s="689"/>
      <c r="BPP4752" s="691"/>
      <c r="BPQ4752" s="689"/>
      <c r="BPR4752" s="691"/>
      <c r="BPS4752" s="689"/>
      <c r="BPT4752" s="691"/>
      <c r="BPU4752" s="689"/>
      <c r="BPV4752" s="691"/>
      <c r="BPW4752" s="689"/>
      <c r="BPX4752" s="691"/>
      <c r="BPY4752" s="689"/>
      <c r="BPZ4752" s="691"/>
      <c r="BQA4752" s="689"/>
      <c r="BQB4752" s="691"/>
      <c r="BQC4752" s="689"/>
      <c r="BQD4752" s="691"/>
      <c r="BQE4752" s="689"/>
      <c r="BQF4752" s="691"/>
      <c r="BQG4752" s="689"/>
      <c r="BQH4752" s="691"/>
      <c r="BQI4752" s="689"/>
      <c r="BQJ4752" s="691"/>
      <c r="BQK4752" s="689"/>
      <c r="BQL4752" s="691"/>
      <c r="BQM4752" s="689"/>
      <c r="BQN4752" s="691"/>
      <c r="BQO4752" s="689"/>
      <c r="BQP4752" s="691"/>
      <c r="BQQ4752" s="689"/>
      <c r="BQR4752" s="691"/>
      <c r="BQS4752" s="689"/>
      <c r="BQT4752" s="691"/>
      <c r="BQU4752" s="689"/>
      <c r="BQV4752" s="691"/>
      <c r="BQW4752" s="689"/>
      <c r="BQX4752" s="691"/>
      <c r="BQY4752" s="689"/>
      <c r="BQZ4752" s="691"/>
      <c r="BRA4752" s="689"/>
      <c r="BRB4752" s="691"/>
      <c r="BRC4752" s="689"/>
      <c r="BRD4752" s="691"/>
      <c r="BRE4752" s="689"/>
      <c r="BRF4752" s="691"/>
      <c r="BRG4752" s="689"/>
      <c r="BRH4752" s="691"/>
      <c r="BRI4752" s="689"/>
      <c r="BRJ4752" s="691"/>
      <c r="BRK4752" s="689"/>
      <c r="BRL4752" s="691"/>
      <c r="BRM4752" s="689"/>
      <c r="BRN4752" s="691"/>
      <c r="BRO4752" s="689"/>
      <c r="BRP4752" s="691"/>
      <c r="BRQ4752" s="689"/>
      <c r="BRR4752" s="691"/>
      <c r="BRS4752" s="689"/>
      <c r="BRT4752" s="691"/>
      <c r="BRU4752" s="689"/>
      <c r="BRV4752" s="691"/>
      <c r="BRW4752" s="689"/>
      <c r="BRX4752" s="691"/>
      <c r="BRY4752" s="689"/>
      <c r="BRZ4752" s="691"/>
      <c r="BSA4752" s="689"/>
      <c r="BSB4752" s="691"/>
      <c r="BSC4752" s="689"/>
      <c r="BSD4752" s="691"/>
      <c r="BSE4752" s="689"/>
      <c r="BSF4752" s="691"/>
      <c r="BSG4752" s="689"/>
      <c r="BSH4752" s="691"/>
      <c r="BSI4752" s="689"/>
      <c r="BSJ4752" s="691"/>
      <c r="BSK4752" s="689"/>
      <c r="BSL4752" s="691"/>
      <c r="BSM4752" s="689"/>
      <c r="BSN4752" s="691"/>
      <c r="BSO4752" s="689"/>
      <c r="BSP4752" s="691"/>
      <c r="BSQ4752" s="689"/>
      <c r="BSR4752" s="691"/>
      <c r="BSS4752" s="689"/>
      <c r="BST4752" s="691"/>
      <c r="BSU4752" s="689"/>
      <c r="BSV4752" s="691"/>
      <c r="BSW4752" s="689"/>
      <c r="BSX4752" s="691"/>
      <c r="BSY4752" s="689"/>
      <c r="BSZ4752" s="691"/>
      <c r="BTA4752" s="689"/>
      <c r="BTB4752" s="691"/>
      <c r="BTC4752" s="689"/>
      <c r="BTD4752" s="691"/>
      <c r="BTE4752" s="689"/>
      <c r="BTF4752" s="691"/>
      <c r="BTG4752" s="689"/>
      <c r="BTH4752" s="691"/>
      <c r="BTI4752" s="689"/>
      <c r="BTJ4752" s="691"/>
      <c r="BTK4752" s="689"/>
      <c r="BTL4752" s="691"/>
      <c r="BTM4752" s="689"/>
      <c r="BTN4752" s="691"/>
      <c r="BTO4752" s="689"/>
      <c r="BTP4752" s="691"/>
      <c r="BTQ4752" s="689"/>
      <c r="BTR4752" s="691"/>
      <c r="BTS4752" s="689"/>
      <c r="BTT4752" s="691"/>
      <c r="BTU4752" s="689"/>
      <c r="BTV4752" s="691"/>
      <c r="BTW4752" s="689"/>
      <c r="BTX4752" s="691"/>
      <c r="BTY4752" s="689"/>
      <c r="BTZ4752" s="691"/>
      <c r="BUA4752" s="689"/>
      <c r="BUB4752" s="691"/>
      <c r="BUC4752" s="689"/>
      <c r="BUD4752" s="691"/>
      <c r="BUE4752" s="689"/>
      <c r="BUF4752" s="691"/>
      <c r="BUG4752" s="689"/>
      <c r="BUH4752" s="691"/>
      <c r="BUI4752" s="689"/>
      <c r="BUJ4752" s="691"/>
      <c r="BUK4752" s="689"/>
      <c r="BUL4752" s="691"/>
      <c r="BUM4752" s="689"/>
      <c r="BUN4752" s="691"/>
      <c r="BUO4752" s="689"/>
      <c r="BUP4752" s="691"/>
      <c r="BUQ4752" s="689"/>
      <c r="BUR4752" s="691"/>
      <c r="BUS4752" s="689"/>
      <c r="BUT4752" s="691"/>
      <c r="BUU4752" s="689"/>
      <c r="BUV4752" s="691"/>
      <c r="BUW4752" s="689"/>
      <c r="BUX4752" s="691"/>
      <c r="BUY4752" s="689"/>
      <c r="BUZ4752" s="691"/>
      <c r="BVA4752" s="689"/>
      <c r="BVB4752" s="691"/>
      <c r="BVC4752" s="689"/>
      <c r="BVD4752" s="691"/>
      <c r="BVE4752" s="689"/>
      <c r="BVF4752" s="691"/>
      <c r="BVG4752" s="689"/>
      <c r="BVH4752" s="691"/>
      <c r="BVI4752" s="689"/>
      <c r="BVJ4752" s="691"/>
      <c r="BVK4752" s="689"/>
      <c r="BVL4752" s="691"/>
      <c r="BVM4752" s="689"/>
      <c r="BVN4752" s="691"/>
      <c r="BVO4752" s="689"/>
      <c r="BVP4752" s="691"/>
      <c r="BVQ4752" s="689"/>
      <c r="BVR4752" s="691"/>
      <c r="BVS4752" s="689"/>
      <c r="BVT4752" s="691"/>
      <c r="BVU4752" s="689"/>
      <c r="BVV4752" s="691"/>
      <c r="BVW4752" s="689"/>
      <c r="BVX4752" s="691"/>
      <c r="BVY4752" s="689"/>
      <c r="BVZ4752" s="691"/>
      <c r="BWA4752" s="689"/>
      <c r="BWB4752" s="691"/>
      <c r="BWC4752" s="689"/>
      <c r="BWD4752" s="691"/>
      <c r="BWE4752" s="689"/>
      <c r="BWF4752" s="691"/>
      <c r="BWG4752" s="689"/>
      <c r="BWH4752" s="691"/>
      <c r="BWI4752" s="689"/>
      <c r="BWJ4752" s="691"/>
      <c r="BWK4752" s="689"/>
      <c r="BWL4752" s="691"/>
      <c r="BWM4752" s="689"/>
      <c r="BWN4752" s="691"/>
      <c r="BWO4752" s="689"/>
      <c r="BWP4752" s="691"/>
      <c r="BWQ4752" s="689"/>
      <c r="BWR4752" s="691"/>
      <c r="BWS4752" s="689"/>
      <c r="BWT4752" s="691"/>
      <c r="BWU4752" s="689"/>
      <c r="BWV4752" s="691"/>
      <c r="BWW4752" s="689"/>
      <c r="BWX4752" s="691"/>
      <c r="BWY4752" s="689"/>
      <c r="BWZ4752" s="691"/>
      <c r="BXA4752" s="689"/>
      <c r="BXB4752" s="691"/>
      <c r="BXC4752" s="689"/>
      <c r="BXD4752" s="691"/>
      <c r="BXE4752" s="689"/>
      <c r="BXF4752" s="691"/>
      <c r="BXG4752" s="689"/>
      <c r="BXH4752" s="691"/>
      <c r="BXI4752" s="689"/>
      <c r="BXJ4752" s="691"/>
      <c r="BXK4752" s="689"/>
      <c r="BXL4752" s="691"/>
      <c r="BXM4752" s="689"/>
      <c r="BXN4752" s="691"/>
      <c r="BXO4752" s="689"/>
      <c r="BXP4752" s="691"/>
      <c r="BXQ4752" s="689"/>
      <c r="BXR4752" s="691"/>
      <c r="BXS4752" s="689"/>
      <c r="BXT4752" s="691"/>
      <c r="BXU4752" s="689"/>
      <c r="BXV4752" s="691"/>
      <c r="BXW4752" s="689"/>
      <c r="BXX4752" s="691"/>
      <c r="BXY4752" s="689"/>
      <c r="BXZ4752" s="691"/>
      <c r="BYA4752" s="689"/>
      <c r="BYB4752" s="691"/>
      <c r="BYC4752" s="689"/>
      <c r="BYD4752" s="691"/>
      <c r="BYE4752" s="689"/>
      <c r="BYF4752" s="691"/>
      <c r="BYG4752" s="689"/>
      <c r="BYH4752" s="691"/>
      <c r="BYI4752" s="689"/>
      <c r="BYJ4752" s="691"/>
      <c r="BYK4752" s="689"/>
      <c r="BYL4752" s="691"/>
      <c r="BYM4752" s="689"/>
      <c r="BYN4752" s="691"/>
      <c r="BYO4752" s="689"/>
      <c r="BYP4752" s="691"/>
      <c r="BYQ4752" s="689"/>
      <c r="BYR4752" s="691"/>
      <c r="BYS4752" s="689"/>
      <c r="BYT4752" s="691"/>
      <c r="BYU4752" s="689"/>
      <c r="BYV4752" s="691"/>
      <c r="BYW4752" s="689"/>
      <c r="BYX4752" s="691"/>
      <c r="BYY4752" s="689"/>
      <c r="BYZ4752" s="691"/>
      <c r="BZA4752" s="689"/>
      <c r="BZB4752" s="691"/>
      <c r="BZC4752" s="689"/>
      <c r="BZD4752" s="691"/>
      <c r="BZE4752" s="689"/>
      <c r="BZF4752" s="691"/>
      <c r="BZG4752" s="689"/>
      <c r="BZH4752" s="691"/>
      <c r="BZI4752" s="689"/>
      <c r="BZJ4752" s="691"/>
      <c r="BZK4752" s="689"/>
      <c r="BZL4752" s="691"/>
      <c r="BZM4752" s="689"/>
      <c r="BZN4752" s="691"/>
      <c r="BZO4752" s="689"/>
      <c r="BZP4752" s="691"/>
      <c r="BZQ4752" s="689"/>
      <c r="BZR4752" s="691"/>
      <c r="BZS4752" s="689"/>
      <c r="BZT4752" s="691"/>
      <c r="BZU4752" s="689"/>
      <c r="BZV4752" s="691"/>
      <c r="BZW4752" s="689"/>
      <c r="BZX4752" s="691"/>
      <c r="BZY4752" s="689"/>
      <c r="BZZ4752" s="691"/>
      <c r="CAA4752" s="689"/>
      <c r="CAB4752" s="691"/>
      <c r="CAC4752" s="689"/>
      <c r="CAD4752" s="691"/>
      <c r="CAE4752" s="689"/>
      <c r="CAF4752" s="691"/>
      <c r="CAG4752" s="689"/>
      <c r="CAH4752" s="691"/>
      <c r="CAI4752" s="689"/>
      <c r="CAJ4752" s="691"/>
      <c r="CAK4752" s="689"/>
      <c r="CAL4752" s="691"/>
      <c r="CAM4752" s="689"/>
      <c r="CAN4752" s="691"/>
      <c r="CAO4752" s="689"/>
      <c r="CAP4752" s="691"/>
      <c r="CAQ4752" s="689"/>
      <c r="CAR4752" s="691"/>
      <c r="CAS4752" s="689"/>
      <c r="CAT4752" s="691"/>
      <c r="CAU4752" s="689"/>
      <c r="CAV4752" s="691"/>
      <c r="CAW4752" s="689"/>
      <c r="CAX4752" s="691"/>
      <c r="CAY4752" s="689"/>
      <c r="CAZ4752" s="691"/>
      <c r="CBA4752" s="689"/>
      <c r="CBB4752" s="691"/>
      <c r="CBC4752" s="689"/>
      <c r="CBD4752" s="691"/>
      <c r="CBE4752" s="689"/>
      <c r="CBF4752" s="691"/>
      <c r="CBG4752" s="689"/>
      <c r="CBH4752" s="691"/>
      <c r="CBI4752" s="689"/>
      <c r="CBJ4752" s="691"/>
      <c r="CBK4752" s="689"/>
      <c r="CBL4752" s="691"/>
      <c r="CBM4752" s="689"/>
      <c r="CBN4752" s="691"/>
      <c r="CBO4752" s="689"/>
      <c r="CBP4752" s="691"/>
      <c r="CBQ4752" s="689"/>
      <c r="CBR4752" s="691"/>
      <c r="CBS4752" s="689"/>
      <c r="CBT4752" s="691"/>
      <c r="CBU4752" s="689"/>
      <c r="CBV4752" s="691"/>
      <c r="CBW4752" s="689"/>
      <c r="CBX4752" s="691"/>
      <c r="CBY4752" s="689"/>
      <c r="CBZ4752" s="691"/>
      <c r="CCA4752" s="689"/>
      <c r="CCB4752" s="691"/>
      <c r="CCC4752" s="689"/>
      <c r="CCD4752" s="691"/>
      <c r="CCE4752" s="689"/>
      <c r="CCF4752" s="691"/>
      <c r="CCG4752" s="689"/>
      <c r="CCH4752" s="691"/>
      <c r="CCI4752" s="689"/>
      <c r="CCJ4752" s="691"/>
      <c r="CCK4752" s="689"/>
      <c r="CCL4752" s="691"/>
      <c r="CCM4752" s="689"/>
      <c r="CCN4752" s="691"/>
      <c r="CCO4752" s="689"/>
      <c r="CCP4752" s="691"/>
      <c r="CCQ4752" s="689"/>
      <c r="CCR4752" s="691"/>
      <c r="CCS4752" s="689"/>
      <c r="CCT4752" s="691"/>
      <c r="CCU4752" s="689"/>
      <c r="CCV4752" s="691"/>
      <c r="CCW4752" s="689"/>
      <c r="CCX4752" s="691"/>
      <c r="CCY4752" s="689"/>
      <c r="CCZ4752" s="691"/>
      <c r="CDA4752" s="689"/>
      <c r="CDB4752" s="691"/>
      <c r="CDC4752" s="689"/>
      <c r="CDD4752" s="691"/>
      <c r="CDE4752" s="689"/>
      <c r="CDF4752" s="691"/>
      <c r="CDG4752" s="689"/>
      <c r="CDH4752" s="691"/>
      <c r="CDI4752" s="689"/>
      <c r="CDJ4752" s="691"/>
      <c r="CDK4752" s="689"/>
      <c r="CDL4752" s="691"/>
      <c r="CDM4752" s="689"/>
      <c r="CDN4752" s="691"/>
      <c r="CDO4752" s="689"/>
      <c r="CDP4752" s="691"/>
      <c r="CDQ4752" s="689"/>
      <c r="CDR4752" s="691"/>
      <c r="CDS4752" s="689"/>
      <c r="CDT4752" s="691"/>
      <c r="CDU4752" s="689"/>
      <c r="CDV4752" s="691"/>
      <c r="CDW4752" s="689"/>
      <c r="CDX4752" s="691"/>
      <c r="CDY4752" s="689"/>
      <c r="CDZ4752" s="691"/>
      <c r="CEA4752" s="689"/>
      <c r="CEB4752" s="691"/>
      <c r="CEC4752" s="689"/>
      <c r="CED4752" s="691"/>
      <c r="CEE4752" s="689"/>
      <c r="CEF4752" s="691"/>
      <c r="CEG4752" s="689"/>
      <c r="CEH4752" s="691"/>
      <c r="CEI4752" s="689"/>
      <c r="CEJ4752" s="691"/>
      <c r="CEK4752" s="689"/>
      <c r="CEL4752" s="691"/>
      <c r="CEM4752" s="689"/>
      <c r="CEN4752" s="691"/>
      <c r="CEO4752" s="689"/>
      <c r="CEP4752" s="691"/>
      <c r="CEQ4752" s="689"/>
      <c r="CER4752" s="691"/>
      <c r="CES4752" s="689"/>
      <c r="CET4752" s="691"/>
      <c r="CEU4752" s="689"/>
      <c r="CEV4752" s="691"/>
      <c r="CEW4752" s="689"/>
      <c r="CEX4752" s="691"/>
      <c r="CEY4752" s="689"/>
      <c r="CEZ4752" s="691"/>
      <c r="CFA4752" s="689"/>
      <c r="CFB4752" s="691"/>
      <c r="CFC4752" s="689"/>
      <c r="CFD4752" s="691"/>
      <c r="CFE4752" s="689"/>
      <c r="CFF4752" s="691"/>
      <c r="CFG4752" s="689"/>
      <c r="CFH4752" s="691"/>
      <c r="CFI4752" s="689"/>
      <c r="CFJ4752" s="691"/>
      <c r="CFK4752" s="689"/>
      <c r="CFL4752" s="691"/>
      <c r="CFM4752" s="689"/>
      <c r="CFN4752" s="691"/>
      <c r="CFO4752" s="689"/>
      <c r="CFP4752" s="691"/>
      <c r="CFQ4752" s="689"/>
      <c r="CFR4752" s="691"/>
      <c r="CFS4752" s="689"/>
      <c r="CFT4752" s="691"/>
      <c r="CFU4752" s="689"/>
      <c r="CFV4752" s="691"/>
      <c r="CFW4752" s="689"/>
      <c r="CFX4752" s="691"/>
      <c r="CFY4752" s="689"/>
      <c r="CFZ4752" s="691"/>
      <c r="CGA4752" s="689"/>
      <c r="CGB4752" s="691"/>
      <c r="CGC4752" s="689"/>
      <c r="CGD4752" s="691"/>
      <c r="CGE4752" s="689"/>
      <c r="CGF4752" s="691"/>
      <c r="CGG4752" s="689"/>
      <c r="CGH4752" s="691"/>
      <c r="CGI4752" s="689"/>
      <c r="CGJ4752" s="691"/>
      <c r="CGK4752" s="689"/>
      <c r="CGL4752" s="691"/>
      <c r="CGM4752" s="689"/>
      <c r="CGN4752" s="691"/>
      <c r="CGO4752" s="689"/>
      <c r="CGP4752" s="691"/>
      <c r="CGQ4752" s="689"/>
      <c r="CGR4752" s="691"/>
      <c r="CGS4752" s="689"/>
      <c r="CGT4752" s="691"/>
      <c r="CGU4752" s="689"/>
      <c r="CGV4752" s="691"/>
      <c r="CGW4752" s="689"/>
      <c r="CGX4752" s="691"/>
      <c r="CGY4752" s="689"/>
      <c r="CGZ4752" s="691"/>
      <c r="CHA4752" s="689"/>
      <c r="CHB4752" s="691"/>
      <c r="CHC4752" s="689"/>
      <c r="CHD4752" s="691"/>
      <c r="CHE4752" s="689"/>
      <c r="CHF4752" s="691"/>
      <c r="CHG4752" s="689"/>
      <c r="CHH4752" s="691"/>
      <c r="CHI4752" s="689"/>
      <c r="CHJ4752" s="691"/>
      <c r="CHK4752" s="689"/>
      <c r="CHL4752" s="691"/>
      <c r="CHM4752" s="689"/>
      <c r="CHN4752" s="691"/>
      <c r="CHO4752" s="689"/>
      <c r="CHP4752" s="691"/>
      <c r="CHQ4752" s="689"/>
      <c r="CHR4752" s="691"/>
      <c r="CHS4752" s="689"/>
      <c r="CHT4752" s="691"/>
      <c r="CHU4752" s="689"/>
      <c r="CHV4752" s="691"/>
      <c r="CHW4752" s="689"/>
      <c r="CHX4752" s="691"/>
      <c r="CHY4752" s="689"/>
      <c r="CHZ4752" s="691"/>
      <c r="CIA4752" s="689"/>
      <c r="CIB4752" s="691"/>
      <c r="CIC4752" s="689"/>
      <c r="CID4752" s="691"/>
      <c r="CIE4752" s="689"/>
      <c r="CIF4752" s="691"/>
      <c r="CIG4752" s="689"/>
      <c r="CIH4752" s="691"/>
      <c r="CII4752" s="689"/>
      <c r="CIJ4752" s="691"/>
      <c r="CIK4752" s="689"/>
      <c r="CIL4752" s="691"/>
      <c r="CIM4752" s="689"/>
      <c r="CIN4752" s="691"/>
      <c r="CIO4752" s="689"/>
      <c r="CIP4752" s="691"/>
      <c r="CIQ4752" s="689"/>
      <c r="CIR4752" s="691"/>
      <c r="CIS4752" s="689"/>
      <c r="CIT4752" s="691"/>
      <c r="CIU4752" s="689"/>
      <c r="CIV4752" s="691"/>
      <c r="CIW4752" s="689"/>
      <c r="CIX4752" s="691"/>
      <c r="CIY4752" s="689"/>
      <c r="CIZ4752" s="691"/>
      <c r="CJA4752" s="689"/>
      <c r="CJB4752" s="691"/>
      <c r="CJC4752" s="689"/>
      <c r="CJD4752" s="691"/>
      <c r="CJE4752" s="689"/>
      <c r="CJF4752" s="691"/>
      <c r="CJG4752" s="689"/>
      <c r="CJH4752" s="691"/>
      <c r="CJI4752" s="689"/>
      <c r="CJJ4752" s="691"/>
      <c r="CJK4752" s="689"/>
      <c r="CJL4752" s="691"/>
      <c r="CJM4752" s="689"/>
      <c r="CJN4752" s="691"/>
      <c r="CJO4752" s="689"/>
      <c r="CJP4752" s="691"/>
      <c r="CJQ4752" s="689"/>
      <c r="CJR4752" s="691"/>
      <c r="CJS4752" s="689"/>
      <c r="CJT4752" s="691"/>
      <c r="CJU4752" s="689"/>
      <c r="CJV4752" s="691"/>
      <c r="CJW4752" s="689"/>
      <c r="CJX4752" s="691"/>
      <c r="CJY4752" s="689"/>
      <c r="CJZ4752" s="691"/>
      <c r="CKA4752" s="689"/>
      <c r="CKB4752" s="691"/>
      <c r="CKC4752" s="689"/>
      <c r="CKD4752" s="691"/>
      <c r="CKE4752" s="689"/>
      <c r="CKF4752" s="691"/>
      <c r="CKG4752" s="689"/>
      <c r="CKH4752" s="691"/>
      <c r="CKI4752" s="689"/>
      <c r="CKJ4752" s="691"/>
      <c r="CKK4752" s="689"/>
      <c r="CKL4752" s="691"/>
      <c r="CKM4752" s="689"/>
      <c r="CKN4752" s="691"/>
      <c r="CKO4752" s="689"/>
      <c r="CKP4752" s="691"/>
      <c r="CKQ4752" s="689"/>
      <c r="CKR4752" s="691"/>
      <c r="CKS4752" s="689"/>
      <c r="CKT4752" s="691"/>
      <c r="CKU4752" s="689"/>
      <c r="CKV4752" s="691"/>
      <c r="CKW4752" s="689"/>
      <c r="CKX4752" s="691"/>
      <c r="CKY4752" s="689"/>
      <c r="CKZ4752" s="691"/>
      <c r="CLA4752" s="689"/>
      <c r="CLB4752" s="691"/>
      <c r="CLC4752" s="689"/>
      <c r="CLD4752" s="691"/>
      <c r="CLE4752" s="689"/>
      <c r="CLF4752" s="691"/>
      <c r="CLG4752" s="689"/>
      <c r="CLH4752" s="691"/>
      <c r="CLI4752" s="689"/>
      <c r="CLJ4752" s="691"/>
      <c r="CLK4752" s="689"/>
      <c r="CLL4752" s="691"/>
      <c r="CLM4752" s="689"/>
      <c r="CLN4752" s="691"/>
      <c r="CLO4752" s="689"/>
      <c r="CLP4752" s="691"/>
      <c r="CLQ4752" s="689"/>
      <c r="CLR4752" s="691"/>
      <c r="CLS4752" s="689"/>
      <c r="CLT4752" s="691"/>
      <c r="CLU4752" s="689"/>
      <c r="CLV4752" s="691"/>
      <c r="CLW4752" s="689"/>
      <c r="CLX4752" s="691"/>
      <c r="CLY4752" s="689"/>
      <c r="CLZ4752" s="691"/>
      <c r="CMA4752" s="689"/>
      <c r="CMB4752" s="691"/>
      <c r="CMC4752" s="689"/>
      <c r="CMD4752" s="691"/>
      <c r="CME4752" s="689"/>
      <c r="CMF4752" s="691"/>
      <c r="CMG4752" s="689"/>
      <c r="CMH4752" s="691"/>
      <c r="CMI4752" s="689"/>
      <c r="CMJ4752" s="691"/>
      <c r="CMK4752" s="689"/>
      <c r="CML4752" s="691"/>
      <c r="CMM4752" s="689"/>
      <c r="CMN4752" s="691"/>
      <c r="CMO4752" s="689"/>
      <c r="CMP4752" s="691"/>
      <c r="CMQ4752" s="689"/>
      <c r="CMR4752" s="691"/>
      <c r="CMS4752" s="689"/>
      <c r="CMT4752" s="691"/>
      <c r="CMU4752" s="689"/>
      <c r="CMV4752" s="691"/>
      <c r="CMW4752" s="689"/>
      <c r="CMX4752" s="691"/>
      <c r="CMY4752" s="689"/>
      <c r="CMZ4752" s="691"/>
      <c r="CNA4752" s="689"/>
      <c r="CNB4752" s="691"/>
      <c r="CNC4752" s="689"/>
      <c r="CND4752" s="691"/>
      <c r="CNE4752" s="689"/>
      <c r="CNF4752" s="691"/>
      <c r="CNG4752" s="689"/>
      <c r="CNH4752" s="691"/>
      <c r="CNI4752" s="689"/>
      <c r="CNJ4752" s="691"/>
      <c r="CNK4752" s="689"/>
      <c r="CNL4752" s="691"/>
      <c r="CNM4752" s="689"/>
      <c r="CNN4752" s="691"/>
      <c r="CNO4752" s="689"/>
      <c r="CNP4752" s="691"/>
      <c r="CNQ4752" s="689"/>
      <c r="CNR4752" s="691"/>
      <c r="CNS4752" s="689"/>
      <c r="CNT4752" s="691"/>
      <c r="CNU4752" s="689"/>
      <c r="CNV4752" s="691"/>
      <c r="CNW4752" s="689"/>
      <c r="CNX4752" s="691"/>
      <c r="CNY4752" s="689"/>
      <c r="CNZ4752" s="691"/>
      <c r="COA4752" s="689"/>
      <c r="COB4752" s="691"/>
      <c r="COC4752" s="689"/>
      <c r="COD4752" s="691"/>
      <c r="COE4752" s="689"/>
      <c r="COF4752" s="691"/>
      <c r="COG4752" s="689"/>
      <c r="COH4752" s="691"/>
      <c r="COI4752" s="689"/>
      <c r="COJ4752" s="691"/>
      <c r="COK4752" s="689"/>
      <c r="COL4752" s="691"/>
      <c r="COM4752" s="689"/>
      <c r="CON4752" s="691"/>
      <c r="COO4752" s="689"/>
      <c r="COP4752" s="691"/>
      <c r="COQ4752" s="689"/>
      <c r="COR4752" s="691"/>
      <c r="COS4752" s="689"/>
      <c r="COT4752" s="691"/>
      <c r="COU4752" s="689"/>
      <c r="COV4752" s="691"/>
      <c r="COW4752" s="689"/>
      <c r="COX4752" s="691"/>
      <c r="COY4752" s="689"/>
      <c r="COZ4752" s="691"/>
      <c r="CPA4752" s="689"/>
      <c r="CPB4752" s="691"/>
      <c r="CPC4752" s="689"/>
      <c r="CPD4752" s="691"/>
      <c r="CPE4752" s="689"/>
      <c r="CPF4752" s="691"/>
      <c r="CPG4752" s="689"/>
      <c r="CPH4752" s="691"/>
      <c r="CPI4752" s="689"/>
      <c r="CPJ4752" s="691"/>
      <c r="CPK4752" s="689"/>
      <c r="CPL4752" s="691"/>
      <c r="CPM4752" s="689"/>
      <c r="CPN4752" s="691"/>
      <c r="CPO4752" s="689"/>
      <c r="CPP4752" s="691"/>
      <c r="CPQ4752" s="689"/>
      <c r="CPR4752" s="691"/>
      <c r="CPS4752" s="689"/>
      <c r="CPT4752" s="691"/>
      <c r="CPU4752" s="689"/>
      <c r="CPV4752" s="691"/>
      <c r="CPW4752" s="689"/>
      <c r="CPX4752" s="691"/>
      <c r="CPY4752" s="689"/>
      <c r="CPZ4752" s="691"/>
      <c r="CQA4752" s="689"/>
      <c r="CQB4752" s="691"/>
      <c r="CQC4752" s="689"/>
      <c r="CQD4752" s="691"/>
      <c r="CQE4752" s="689"/>
      <c r="CQF4752" s="691"/>
      <c r="CQG4752" s="689"/>
      <c r="CQH4752" s="691"/>
      <c r="CQI4752" s="689"/>
      <c r="CQJ4752" s="691"/>
      <c r="CQK4752" s="689"/>
      <c r="CQL4752" s="691"/>
      <c r="CQM4752" s="689"/>
      <c r="CQN4752" s="691"/>
      <c r="CQO4752" s="689"/>
      <c r="CQP4752" s="691"/>
      <c r="CQQ4752" s="689"/>
      <c r="CQR4752" s="691"/>
      <c r="CQS4752" s="689"/>
      <c r="CQT4752" s="691"/>
      <c r="CQU4752" s="689"/>
      <c r="CQV4752" s="691"/>
      <c r="CQW4752" s="689"/>
      <c r="CQX4752" s="691"/>
      <c r="CQY4752" s="689"/>
      <c r="CQZ4752" s="691"/>
      <c r="CRA4752" s="689"/>
      <c r="CRB4752" s="691"/>
      <c r="CRC4752" s="689"/>
      <c r="CRD4752" s="691"/>
      <c r="CRE4752" s="689"/>
      <c r="CRF4752" s="691"/>
      <c r="CRG4752" s="689"/>
      <c r="CRH4752" s="691"/>
      <c r="CRI4752" s="689"/>
      <c r="CRJ4752" s="691"/>
      <c r="CRK4752" s="689"/>
      <c r="CRL4752" s="691"/>
      <c r="CRM4752" s="689"/>
      <c r="CRN4752" s="691"/>
      <c r="CRO4752" s="689"/>
      <c r="CRP4752" s="691"/>
      <c r="CRQ4752" s="689"/>
      <c r="CRR4752" s="691"/>
      <c r="CRS4752" s="689"/>
      <c r="CRT4752" s="691"/>
      <c r="CRU4752" s="689"/>
      <c r="CRV4752" s="691"/>
      <c r="CRW4752" s="689"/>
      <c r="CRX4752" s="691"/>
      <c r="CRY4752" s="689"/>
      <c r="CRZ4752" s="691"/>
      <c r="CSA4752" s="689"/>
      <c r="CSB4752" s="691"/>
      <c r="CSC4752" s="689"/>
      <c r="CSD4752" s="691"/>
      <c r="CSE4752" s="689"/>
      <c r="CSF4752" s="691"/>
      <c r="CSG4752" s="689"/>
      <c r="CSH4752" s="691"/>
      <c r="CSI4752" s="689"/>
      <c r="CSJ4752" s="691"/>
      <c r="CSK4752" s="689"/>
      <c r="CSL4752" s="691"/>
      <c r="CSM4752" s="689"/>
      <c r="CSN4752" s="691"/>
      <c r="CSO4752" s="689"/>
      <c r="CSP4752" s="691"/>
      <c r="CSQ4752" s="689"/>
      <c r="CSR4752" s="691"/>
      <c r="CSS4752" s="689"/>
      <c r="CST4752" s="691"/>
      <c r="CSU4752" s="689"/>
      <c r="CSV4752" s="691"/>
      <c r="CSW4752" s="689"/>
      <c r="CSX4752" s="691"/>
      <c r="CSY4752" s="689"/>
      <c r="CSZ4752" s="691"/>
      <c r="CTA4752" s="689"/>
      <c r="CTB4752" s="691"/>
      <c r="CTC4752" s="689"/>
      <c r="CTD4752" s="691"/>
      <c r="CTE4752" s="689"/>
      <c r="CTF4752" s="691"/>
      <c r="CTG4752" s="689"/>
      <c r="CTH4752" s="691"/>
      <c r="CTI4752" s="689"/>
      <c r="CTJ4752" s="691"/>
      <c r="CTK4752" s="689"/>
      <c r="CTL4752" s="691"/>
      <c r="CTM4752" s="689"/>
      <c r="CTN4752" s="691"/>
      <c r="CTO4752" s="689"/>
      <c r="CTP4752" s="691"/>
      <c r="CTQ4752" s="689"/>
      <c r="CTR4752" s="691"/>
      <c r="CTS4752" s="689"/>
      <c r="CTT4752" s="691"/>
      <c r="CTU4752" s="689"/>
      <c r="CTV4752" s="691"/>
      <c r="CTW4752" s="689"/>
      <c r="CTX4752" s="691"/>
      <c r="CTY4752" s="689"/>
      <c r="CTZ4752" s="691"/>
      <c r="CUA4752" s="689"/>
      <c r="CUB4752" s="691"/>
      <c r="CUC4752" s="689"/>
      <c r="CUD4752" s="691"/>
      <c r="CUE4752" s="689"/>
      <c r="CUF4752" s="691"/>
      <c r="CUG4752" s="689"/>
      <c r="CUH4752" s="691"/>
      <c r="CUI4752" s="689"/>
      <c r="CUJ4752" s="691"/>
      <c r="CUK4752" s="689"/>
      <c r="CUL4752" s="691"/>
      <c r="CUM4752" s="689"/>
      <c r="CUN4752" s="691"/>
      <c r="CUO4752" s="689"/>
      <c r="CUP4752" s="691"/>
      <c r="CUQ4752" s="689"/>
      <c r="CUR4752" s="691"/>
      <c r="CUS4752" s="689"/>
      <c r="CUT4752" s="691"/>
      <c r="CUU4752" s="689"/>
      <c r="CUV4752" s="691"/>
      <c r="CUW4752" s="689"/>
      <c r="CUX4752" s="691"/>
      <c r="CUY4752" s="689"/>
      <c r="CUZ4752" s="691"/>
      <c r="CVA4752" s="689"/>
      <c r="CVB4752" s="691"/>
      <c r="CVC4752" s="689"/>
      <c r="CVD4752" s="691"/>
      <c r="CVE4752" s="689"/>
      <c r="CVF4752" s="691"/>
      <c r="CVG4752" s="689"/>
      <c r="CVH4752" s="691"/>
      <c r="CVI4752" s="689"/>
      <c r="CVJ4752" s="691"/>
      <c r="CVK4752" s="689"/>
      <c r="CVL4752" s="691"/>
      <c r="CVM4752" s="689"/>
      <c r="CVN4752" s="691"/>
      <c r="CVO4752" s="689"/>
      <c r="CVP4752" s="691"/>
      <c r="CVQ4752" s="689"/>
      <c r="CVR4752" s="691"/>
      <c r="CVS4752" s="689"/>
      <c r="CVT4752" s="691"/>
      <c r="CVU4752" s="689"/>
      <c r="CVV4752" s="691"/>
      <c r="CVW4752" s="689"/>
      <c r="CVX4752" s="691"/>
      <c r="CVY4752" s="689"/>
      <c r="CVZ4752" s="691"/>
      <c r="CWA4752" s="689"/>
      <c r="CWB4752" s="691"/>
      <c r="CWC4752" s="689"/>
      <c r="CWD4752" s="691"/>
      <c r="CWE4752" s="689"/>
      <c r="CWF4752" s="691"/>
      <c r="CWG4752" s="689"/>
      <c r="CWH4752" s="691"/>
      <c r="CWI4752" s="689"/>
      <c r="CWJ4752" s="691"/>
      <c r="CWK4752" s="689"/>
      <c r="CWL4752" s="691"/>
      <c r="CWM4752" s="689"/>
      <c r="CWN4752" s="691"/>
      <c r="CWO4752" s="689"/>
      <c r="CWP4752" s="691"/>
      <c r="CWQ4752" s="689"/>
      <c r="CWR4752" s="691"/>
      <c r="CWS4752" s="689"/>
      <c r="CWT4752" s="691"/>
      <c r="CWU4752" s="689"/>
      <c r="CWV4752" s="691"/>
      <c r="CWW4752" s="689"/>
      <c r="CWX4752" s="691"/>
      <c r="CWY4752" s="689"/>
      <c r="CWZ4752" s="691"/>
      <c r="CXA4752" s="689"/>
      <c r="CXB4752" s="691"/>
      <c r="CXC4752" s="689"/>
      <c r="CXD4752" s="691"/>
      <c r="CXE4752" s="689"/>
      <c r="CXF4752" s="691"/>
      <c r="CXG4752" s="689"/>
      <c r="CXH4752" s="691"/>
      <c r="CXI4752" s="689"/>
      <c r="CXJ4752" s="691"/>
      <c r="CXK4752" s="689"/>
      <c r="CXL4752" s="691"/>
      <c r="CXM4752" s="689"/>
      <c r="CXN4752" s="691"/>
      <c r="CXO4752" s="689"/>
      <c r="CXP4752" s="691"/>
      <c r="CXQ4752" s="689"/>
      <c r="CXR4752" s="691"/>
      <c r="CXS4752" s="689"/>
      <c r="CXT4752" s="691"/>
      <c r="CXU4752" s="689"/>
      <c r="CXV4752" s="691"/>
      <c r="CXW4752" s="689"/>
      <c r="CXX4752" s="691"/>
      <c r="CXY4752" s="689"/>
      <c r="CXZ4752" s="691"/>
      <c r="CYA4752" s="689"/>
      <c r="CYB4752" s="691"/>
      <c r="CYC4752" s="689"/>
      <c r="CYD4752" s="691"/>
      <c r="CYE4752" s="689"/>
      <c r="CYF4752" s="691"/>
      <c r="CYG4752" s="689"/>
      <c r="CYH4752" s="691"/>
      <c r="CYI4752" s="689"/>
      <c r="CYJ4752" s="691"/>
      <c r="CYK4752" s="689"/>
      <c r="CYL4752" s="691"/>
      <c r="CYM4752" s="689"/>
      <c r="CYN4752" s="691"/>
      <c r="CYO4752" s="689"/>
      <c r="CYP4752" s="691"/>
      <c r="CYQ4752" s="689"/>
      <c r="CYR4752" s="691"/>
      <c r="CYS4752" s="689"/>
      <c r="CYT4752" s="691"/>
      <c r="CYU4752" s="689"/>
      <c r="CYV4752" s="691"/>
      <c r="CYW4752" s="689"/>
      <c r="CYX4752" s="691"/>
      <c r="CYY4752" s="689"/>
      <c r="CYZ4752" s="691"/>
      <c r="CZA4752" s="689"/>
      <c r="CZB4752" s="691"/>
      <c r="CZC4752" s="689"/>
      <c r="CZD4752" s="691"/>
      <c r="CZE4752" s="689"/>
      <c r="CZF4752" s="691"/>
      <c r="CZG4752" s="689"/>
      <c r="CZH4752" s="691"/>
      <c r="CZI4752" s="689"/>
      <c r="CZJ4752" s="691"/>
      <c r="CZK4752" s="689"/>
      <c r="CZL4752" s="691"/>
      <c r="CZM4752" s="689"/>
      <c r="CZN4752" s="691"/>
      <c r="CZO4752" s="689"/>
      <c r="CZP4752" s="691"/>
      <c r="CZQ4752" s="689"/>
      <c r="CZR4752" s="691"/>
      <c r="CZS4752" s="689"/>
      <c r="CZT4752" s="691"/>
      <c r="CZU4752" s="689"/>
      <c r="CZV4752" s="691"/>
      <c r="CZW4752" s="689"/>
      <c r="CZX4752" s="691"/>
      <c r="CZY4752" s="689"/>
      <c r="CZZ4752" s="691"/>
      <c r="DAA4752" s="689"/>
      <c r="DAB4752" s="691"/>
      <c r="DAC4752" s="689"/>
      <c r="DAD4752" s="691"/>
      <c r="DAE4752" s="689"/>
      <c r="DAF4752" s="691"/>
      <c r="DAG4752" s="689"/>
      <c r="DAH4752" s="691"/>
      <c r="DAI4752" s="689"/>
      <c r="DAJ4752" s="691"/>
      <c r="DAK4752" s="689"/>
      <c r="DAL4752" s="691"/>
      <c r="DAM4752" s="689"/>
      <c r="DAN4752" s="691"/>
      <c r="DAO4752" s="689"/>
      <c r="DAP4752" s="691"/>
      <c r="DAQ4752" s="689"/>
      <c r="DAR4752" s="691"/>
      <c r="DAS4752" s="689"/>
      <c r="DAT4752" s="691"/>
      <c r="DAU4752" s="689"/>
      <c r="DAV4752" s="691"/>
      <c r="DAW4752" s="689"/>
      <c r="DAX4752" s="691"/>
      <c r="DAY4752" s="689"/>
      <c r="DAZ4752" s="691"/>
      <c r="DBA4752" s="689"/>
      <c r="DBB4752" s="691"/>
      <c r="DBC4752" s="689"/>
      <c r="DBD4752" s="691"/>
      <c r="DBE4752" s="689"/>
      <c r="DBF4752" s="691"/>
      <c r="DBG4752" s="689"/>
      <c r="DBH4752" s="691"/>
      <c r="DBI4752" s="689"/>
      <c r="DBJ4752" s="691"/>
      <c r="DBK4752" s="689"/>
      <c r="DBL4752" s="691"/>
      <c r="DBM4752" s="689"/>
      <c r="DBN4752" s="691"/>
      <c r="DBO4752" s="689"/>
      <c r="DBP4752" s="691"/>
      <c r="DBQ4752" s="689"/>
      <c r="DBR4752" s="691"/>
      <c r="DBS4752" s="689"/>
      <c r="DBT4752" s="691"/>
      <c r="DBU4752" s="689"/>
      <c r="DBV4752" s="691"/>
      <c r="DBW4752" s="689"/>
      <c r="DBX4752" s="691"/>
      <c r="DBY4752" s="689"/>
      <c r="DBZ4752" s="691"/>
      <c r="DCA4752" s="689"/>
      <c r="DCB4752" s="691"/>
      <c r="DCC4752" s="689"/>
      <c r="DCD4752" s="691"/>
      <c r="DCE4752" s="689"/>
      <c r="DCF4752" s="691"/>
      <c r="DCG4752" s="689"/>
      <c r="DCH4752" s="691"/>
      <c r="DCI4752" s="689"/>
      <c r="DCJ4752" s="691"/>
      <c r="DCK4752" s="689"/>
      <c r="DCL4752" s="691"/>
      <c r="DCM4752" s="689"/>
      <c r="DCN4752" s="691"/>
      <c r="DCO4752" s="689"/>
      <c r="DCP4752" s="691"/>
      <c r="DCQ4752" s="689"/>
      <c r="DCR4752" s="691"/>
      <c r="DCS4752" s="689"/>
      <c r="DCT4752" s="691"/>
      <c r="DCU4752" s="689"/>
      <c r="DCV4752" s="691"/>
      <c r="DCW4752" s="689"/>
      <c r="DCX4752" s="691"/>
      <c r="DCY4752" s="689"/>
      <c r="DCZ4752" s="691"/>
      <c r="DDA4752" s="689"/>
      <c r="DDB4752" s="691"/>
      <c r="DDC4752" s="689"/>
      <c r="DDD4752" s="691"/>
      <c r="DDE4752" s="689"/>
      <c r="DDF4752" s="691"/>
      <c r="DDG4752" s="689"/>
      <c r="DDH4752" s="691"/>
      <c r="DDI4752" s="689"/>
      <c r="DDJ4752" s="691"/>
      <c r="DDK4752" s="689"/>
      <c r="DDL4752" s="691"/>
      <c r="DDM4752" s="689"/>
      <c r="DDN4752" s="691"/>
      <c r="DDO4752" s="689"/>
      <c r="DDP4752" s="691"/>
      <c r="DDQ4752" s="689"/>
      <c r="DDR4752" s="691"/>
      <c r="DDS4752" s="689"/>
      <c r="DDT4752" s="691"/>
      <c r="DDU4752" s="689"/>
      <c r="DDV4752" s="691"/>
      <c r="DDW4752" s="689"/>
      <c r="DDX4752" s="691"/>
      <c r="DDY4752" s="689"/>
      <c r="DDZ4752" s="691"/>
      <c r="DEA4752" s="689"/>
      <c r="DEB4752" s="691"/>
      <c r="DEC4752" s="689"/>
      <c r="DED4752" s="691"/>
      <c r="DEE4752" s="689"/>
      <c r="DEF4752" s="691"/>
      <c r="DEG4752" s="689"/>
      <c r="DEH4752" s="691"/>
      <c r="DEI4752" s="689"/>
      <c r="DEJ4752" s="691"/>
      <c r="DEK4752" s="689"/>
      <c r="DEL4752" s="691"/>
      <c r="DEM4752" s="689"/>
      <c r="DEN4752" s="691"/>
      <c r="DEO4752" s="689"/>
      <c r="DEP4752" s="691"/>
      <c r="DEQ4752" s="689"/>
      <c r="DER4752" s="691"/>
      <c r="DES4752" s="689"/>
      <c r="DET4752" s="691"/>
      <c r="DEU4752" s="689"/>
      <c r="DEV4752" s="691"/>
      <c r="DEW4752" s="689"/>
      <c r="DEX4752" s="691"/>
      <c r="DEY4752" s="689"/>
      <c r="DEZ4752" s="691"/>
      <c r="DFA4752" s="689"/>
      <c r="DFB4752" s="691"/>
      <c r="DFC4752" s="689"/>
      <c r="DFD4752" s="691"/>
      <c r="DFE4752" s="689"/>
      <c r="DFF4752" s="691"/>
      <c r="DFG4752" s="689"/>
      <c r="DFH4752" s="691"/>
      <c r="DFI4752" s="689"/>
      <c r="DFJ4752" s="691"/>
      <c r="DFK4752" s="689"/>
      <c r="DFL4752" s="691"/>
      <c r="DFM4752" s="689"/>
      <c r="DFN4752" s="691"/>
      <c r="DFO4752" s="689"/>
      <c r="DFP4752" s="691"/>
      <c r="DFQ4752" s="689"/>
      <c r="DFR4752" s="691"/>
      <c r="DFS4752" s="689"/>
      <c r="DFT4752" s="691"/>
      <c r="DFU4752" s="689"/>
      <c r="DFV4752" s="691"/>
      <c r="DFW4752" s="689"/>
      <c r="DFX4752" s="691"/>
      <c r="DFY4752" s="689"/>
      <c r="DFZ4752" s="691"/>
      <c r="DGA4752" s="689"/>
      <c r="DGB4752" s="691"/>
      <c r="DGC4752" s="689"/>
      <c r="DGD4752" s="691"/>
      <c r="DGE4752" s="689"/>
      <c r="DGF4752" s="691"/>
      <c r="DGG4752" s="689"/>
      <c r="DGH4752" s="691"/>
      <c r="DGI4752" s="689"/>
      <c r="DGJ4752" s="691"/>
      <c r="DGK4752" s="689"/>
      <c r="DGL4752" s="691"/>
      <c r="DGM4752" s="689"/>
      <c r="DGN4752" s="691"/>
      <c r="DGO4752" s="689"/>
      <c r="DGP4752" s="691"/>
      <c r="DGQ4752" s="689"/>
      <c r="DGR4752" s="691"/>
      <c r="DGS4752" s="689"/>
      <c r="DGT4752" s="691"/>
      <c r="DGU4752" s="689"/>
      <c r="DGV4752" s="691"/>
      <c r="DGW4752" s="689"/>
      <c r="DGX4752" s="691"/>
      <c r="DGY4752" s="689"/>
      <c r="DGZ4752" s="691"/>
      <c r="DHA4752" s="689"/>
      <c r="DHB4752" s="691"/>
      <c r="DHC4752" s="689"/>
      <c r="DHD4752" s="691"/>
      <c r="DHE4752" s="689"/>
      <c r="DHF4752" s="691"/>
      <c r="DHG4752" s="689"/>
      <c r="DHH4752" s="691"/>
      <c r="DHI4752" s="689"/>
      <c r="DHJ4752" s="691"/>
      <c r="DHK4752" s="689"/>
      <c r="DHL4752" s="691"/>
      <c r="DHM4752" s="689"/>
      <c r="DHN4752" s="691"/>
      <c r="DHO4752" s="689"/>
      <c r="DHP4752" s="691"/>
      <c r="DHQ4752" s="689"/>
      <c r="DHR4752" s="691"/>
      <c r="DHS4752" s="689"/>
      <c r="DHT4752" s="691"/>
      <c r="DHU4752" s="689"/>
      <c r="DHV4752" s="691"/>
      <c r="DHW4752" s="689"/>
      <c r="DHX4752" s="691"/>
      <c r="DHY4752" s="689"/>
      <c r="DHZ4752" s="691"/>
      <c r="DIA4752" s="689"/>
      <c r="DIB4752" s="691"/>
      <c r="DIC4752" s="689"/>
      <c r="DID4752" s="691"/>
      <c r="DIE4752" s="689"/>
      <c r="DIF4752" s="691"/>
      <c r="DIG4752" s="689"/>
      <c r="DIH4752" s="691"/>
      <c r="DII4752" s="689"/>
      <c r="DIJ4752" s="691"/>
      <c r="DIK4752" s="689"/>
      <c r="DIL4752" s="691"/>
      <c r="DIM4752" s="689"/>
      <c r="DIN4752" s="691"/>
      <c r="DIO4752" s="689"/>
      <c r="DIP4752" s="691"/>
      <c r="DIQ4752" s="689"/>
      <c r="DIR4752" s="691"/>
      <c r="DIS4752" s="689"/>
      <c r="DIT4752" s="691"/>
      <c r="DIU4752" s="689"/>
      <c r="DIV4752" s="691"/>
      <c r="DIW4752" s="689"/>
      <c r="DIX4752" s="691"/>
      <c r="DIY4752" s="689"/>
      <c r="DIZ4752" s="691"/>
      <c r="DJA4752" s="689"/>
      <c r="DJB4752" s="691"/>
      <c r="DJC4752" s="689"/>
      <c r="DJD4752" s="691"/>
      <c r="DJE4752" s="689"/>
      <c r="DJF4752" s="691"/>
      <c r="DJG4752" s="689"/>
      <c r="DJH4752" s="691"/>
      <c r="DJI4752" s="689"/>
      <c r="DJJ4752" s="691"/>
      <c r="DJK4752" s="689"/>
      <c r="DJL4752" s="691"/>
      <c r="DJM4752" s="689"/>
      <c r="DJN4752" s="691"/>
      <c r="DJO4752" s="689"/>
      <c r="DJP4752" s="691"/>
      <c r="DJQ4752" s="689"/>
      <c r="DJR4752" s="691"/>
      <c r="DJS4752" s="689"/>
      <c r="DJT4752" s="691"/>
      <c r="DJU4752" s="689"/>
      <c r="DJV4752" s="691"/>
      <c r="DJW4752" s="689"/>
      <c r="DJX4752" s="691"/>
      <c r="DJY4752" s="689"/>
      <c r="DJZ4752" s="691"/>
      <c r="DKA4752" s="689"/>
      <c r="DKB4752" s="691"/>
      <c r="DKC4752" s="689"/>
      <c r="DKD4752" s="691"/>
      <c r="DKE4752" s="689"/>
      <c r="DKF4752" s="691"/>
      <c r="DKG4752" s="689"/>
      <c r="DKH4752" s="691"/>
      <c r="DKI4752" s="689"/>
      <c r="DKJ4752" s="691"/>
      <c r="DKK4752" s="689"/>
      <c r="DKL4752" s="691"/>
      <c r="DKM4752" s="689"/>
      <c r="DKN4752" s="691"/>
      <c r="DKO4752" s="689"/>
      <c r="DKP4752" s="691"/>
      <c r="DKQ4752" s="689"/>
      <c r="DKR4752" s="691"/>
      <c r="DKS4752" s="689"/>
      <c r="DKT4752" s="691"/>
      <c r="DKU4752" s="689"/>
      <c r="DKV4752" s="691"/>
      <c r="DKW4752" s="689"/>
      <c r="DKX4752" s="691"/>
      <c r="DKY4752" s="689"/>
      <c r="DKZ4752" s="691"/>
      <c r="DLA4752" s="689"/>
      <c r="DLB4752" s="691"/>
      <c r="DLC4752" s="689"/>
      <c r="DLD4752" s="691"/>
      <c r="DLE4752" s="689"/>
      <c r="DLF4752" s="691"/>
      <c r="DLG4752" s="689"/>
      <c r="DLH4752" s="691"/>
      <c r="DLI4752" s="689"/>
      <c r="DLJ4752" s="691"/>
      <c r="DLK4752" s="689"/>
      <c r="DLL4752" s="691"/>
      <c r="DLM4752" s="689"/>
      <c r="DLN4752" s="691"/>
      <c r="DLO4752" s="689"/>
      <c r="DLP4752" s="691"/>
      <c r="DLQ4752" s="689"/>
      <c r="DLR4752" s="691"/>
      <c r="DLS4752" s="689"/>
      <c r="DLT4752" s="691"/>
      <c r="DLU4752" s="689"/>
      <c r="DLV4752" s="691"/>
      <c r="DLW4752" s="689"/>
      <c r="DLX4752" s="691"/>
      <c r="DLY4752" s="689"/>
      <c r="DLZ4752" s="691"/>
      <c r="DMA4752" s="689"/>
      <c r="DMB4752" s="691"/>
      <c r="DMC4752" s="689"/>
      <c r="DMD4752" s="691"/>
      <c r="DME4752" s="689"/>
      <c r="DMF4752" s="691"/>
      <c r="DMG4752" s="689"/>
      <c r="DMH4752" s="691"/>
      <c r="DMI4752" s="689"/>
      <c r="DMJ4752" s="691"/>
      <c r="DMK4752" s="689"/>
      <c r="DML4752" s="691"/>
      <c r="DMM4752" s="689"/>
      <c r="DMN4752" s="691"/>
      <c r="DMO4752" s="689"/>
      <c r="DMP4752" s="691"/>
      <c r="DMQ4752" s="689"/>
      <c r="DMR4752" s="691"/>
      <c r="DMS4752" s="689"/>
      <c r="DMT4752" s="691"/>
      <c r="DMU4752" s="689"/>
      <c r="DMV4752" s="691"/>
      <c r="DMW4752" s="689"/>
      <c r="DMX4752" s="691"/>
      <c r="DMY4752" s="689"/>
      <c r="DMZ4752" s="691"/>
      <c r="DNA4752" s="689"/>
      <c r="DNB4752" s="691"/>
      <c r="DNC4752" s="689"/>
      <c r="DND4752" s="691"/>
      <c r="DNE4752" s="689"/>
      <c r="DNF4752" s="691"/>
      <c r="DNG4752" s="689"/>
      <c r="DNH4752" s="691"/>
      <c r="DNI4752" s="689"/>
      <c r="DNJ4752" s="691"/>
      <c r="DNK4752" s="689"/>
      <c r="DNL4752" s="691"/>
      <c r="DNM4752" s="689"/>
      <c r="DNN4752" s="691"/>
      <c r="DNO4752" s="689"/>
      <c r="DNP4752" s="691"/>
      <c r="DNQ4752" s="689"/>
      <c r="DNR4752" s="691"/>
      <c r="DNS4752" s="689"/>
      <c r="DNT4752" s="691"/>
      <c r="DNU4752" s="689"/>
      <c r="DNV4752" s="691"/>
      <c r="DNW4752" s="689"/>
      <c r="DNX4752" s="691"/>
      <c r="DNY4752" s="689"/>
      <c r="DNZ4752" s="691"/>
      <c r="DOA4752" s="689"/>
      <c r="DOB4752" s="691"/>
      <c r="DOC4752" s="689"/>
      <c r="DOD4752" s="691"/>
      <c r="DOE4752" s="689"/>
      <c r="DOF4752" s="691"/>
      <c r="DOG4752" s="689"/>
      <c r="DOH4752" s="691"/>
      <c r="DOI4752" s="689"/>
      <c r="DOJ4752" s="691"/>
      <c r="DOK4752" s="689"/>
      <c r="DOL4752" s="691"/>
      <c r="DOM4752" s="689"/>
      <c r="DON4752" s="691"/>
      <c r="DOO4752" s="689"/>
      <c r="DOP4752" s="691"/>
      <c r="DOQ4752" s="689"/>
      <c r="DOR4752" s="691"/>
      <c r="DOS4752" s="689"/>
      <c r="DOT4752" s="691"/>
      <c r="DOU4752" s="689"/>
      <c r="DOV4752" s="691"/>
      <c r="DOW4752" s="689"/>
      <c r="DOX4752" s="691"/>
      <c r="DOY4752" s="689"/>
      <c r="DOZ4752" s="691"/>
      <c r="DPA4752" s="689"/>
      <c r="DPB4752" s="691"/>
      <c r="DPC4752" s="689"/>
      <c r="DPD4752" s="691"/>
      <c r="DPE4752" s="689"/>
      <c r="DPF4752" s="691"/>
      <c r="DPG4752" s="689"/>
      <c r="DPH4752" s="691"/>
      <c r="DPI4752" s="689"/>
      <c r="DPJ4752" s="691"/>
      <c r="DPK4752" s="689"/>
      <c r="DPL4752" s="691"/>
      <c r="DPM4752" s="689"/>
      <c r="DPN4752" s="691"/>
      <c r="DPO4752" s="689"/>
      <c r="DPP4752" s="691"/>
      <c r="DPQ4752" s="689"/>
      <c r="DPR4752" s="691"/>
      <c r="DPS4752" s="689"/>
      <c r="DPT4752" s="691"/>
      <c r="DPU4752" s="689"/>
      <c r="DPV4752" s="691"/>
      <c r="DPW4752" s="689"/>
      <c r="DPX4752" s="691"/>
      <c r="DPY4752" s="689"/>
      <c r="DPZ4752" s="691"/>
      <c r="DQA4752" s="689"/>
      <c r="DQB4752" s="691"/>
      <c r="DQC4752" s="689"/>
      <c r="DQD4752" s="691"/>
      <c r="DQE4752" s="689"/>
      <c r="DQF4752" s="691"/>
      <c r="DQG4752" s="689"/>
      <c r="DQH4752" s="691"/>
      <c r="DQI4752" s="689"/>
      <c r="DQJ4752" s="691"/>
      <c r="DQK4752" s="689"/>
      <c r="DQL4752" s="691"/>
      <c r="DQM4752" s="689"/>
      <c r="DQN4752" s="691"/>
      <c r="DQO4752" s="689"/>
      <c r="DQP4752" s="691"/>
      <c r="DQQ4752" s="689"/>
      <c r="DQR4752" s="691"/>
      <c r="DQS4752" s="689"/>
      <c r="DQT4752" s="691"/>
      <c r="DQU4752" s="689"/>
      <c r="DQV4752" s="691"/>
      <c r="DQW4752" s="689"/>
      <c r="DQX4752" s="691"/>
      <c r="DQY4752" s="689"/>
      <c r="DQZ4752" s="691"/>
      <c r="DRA4752" s="689"/>
      <c r="DRB4752" s="691"/>
      <c r="DRC4752" s="689"/>
      <c r="DRD4752" s="691"/>
      <c r="DRE4752" s="689"/>
      <c r="DRF4752" s="691"/>
      <c r="DRG4752" s="689"/>
      <c r="DRH4752" s="691"/>
      <c r="DRI4752" s="689"/>
      <c r="DRJ4752" s="691"/>
      <c r="DRK4752" s="689"/>
      <c r="DRL4752" s="691"/>
      <c r="DRM4752" s="689"/>
      <c r="DRN4752" s="691"/>
      <c r="DRO4752" s="689"/>
      <c r="DRP4752" s="691"/>
      <c r="DRQ4752" s="689"/>
      <c r="DRR4752" s="691"/>
      <c r="DRS4752" s="689"/>
      <c r="DRT4752" s="691"/>
      <c r="DRU4752" s="689"/>
      <c r="DRV4752" s="691"/>
      <c r="DRW4752" s="689"/>
      <c r="DRX4752" s="691"/>
      <c r="DRY4752" s="689"/>
      <c r="DRZ4752" s="691"/>
      <c r="DSA4752" s="689"/>
      <c r="DSB4752" s="691"/>
      <c r="DSC4752" s="689"/>
      <c r="DSD4752" s="691"/>
      <c r="DSE4752" s="689"/>
      <c r="DSF4752" s="691"/>
      <c r="DSG4752" s="689"/>
      <c r="DSH4752" s="691"/>
      <c r="DSI4752" s="689"/>
      <c r="DSJ4752" s="691"/>
      <c r="DSK4752" s="689"/>
      <c r="DSL4752" s="691"/>
      <c r="DSM4752" s="689"/>
      <c r="DSN4752" s="691"/>
      <c r="DSO4752" s="689"/>
      <c r="DSP4752" s="691"/>
      <c r="DSQ4752" s="689"/>
      <c r="DSR4752" s="691"/>
      <c r="DSS4752" s="689"/>
      <c r="DST4752" s="691"/>
      <c r="DSU4752" s="689"/>
      <c r="DSV4752" s="691"/>
      <c r="DSW4752" s="689"/>
      <c r="DSX4752" s="691"/>
      <c r="DSY4752" s="689"/>
      <c r="DSZ4752" s="691"/>
      <c r="DTA4752" s="689"/>
      <c r="DTB4752" s="691"/>
      <c r="DTC4752" s="689"/>
      <c r="DTD4752" s="691"/>
      <c r="DTE4752" s="689"/>
      <c r="DTF4752" s="691"/>
      <c r="DTG4752" s="689"/>
      <c r="DTH4752" s="691"/>
      <c r="DTI4752" s="689"/>
      <c r="DTJ4752" s="691"/>
      <c r="DTK4752" s="689"/>
      <c r="DTL4752" s="691"/>
      <c r="DTM4752" s="689"/>
      <c r="DTN4752" s="691"/>
      <c r="DTO4752" s="689"/>
      <c r="DTP4752" s="691"/>
      <c r="DTQ4752" s="689"/>
      <c r="DTR4752" s="691"/>
      <c r="DTS4752" s="689"/>
      <c r="DTT4752" s="691"/>
      <c r="DTU4752" s="689"/>
      <c r="DTV4752" s="691"/>
      <c r="DTW4752" s="689"/>
      <c r="DTX4752" s="691"/>
      <c r="DTY4752" s="689"/>
      <c r="DTZ4752" s="691"/>
      <c r="DUA4752" s="689"/>
      <c r="DUB4752" s="691"/>
      <c r="DUC4752" s="689"/>
      <c r="DUD4752" s="691"/>
      <c r="DUE4752" s="689"/>
      <c r="DUF4752" s="691"/>
      <c r="DUG4752" s="689"/>
      <c r="DUH4752" s="691"/>
      <c r="DUI4752" s="689"/>
      <c r="DUJ4752" s="691"/>
      <c r="DUK4752" s="689"/>
      <c r="DUL4752" s="691"/>
      <c r="DUM4752" s="689"/>
      <c r="DUN4752" s="691"/>
      <c r="DUO4752" s="689"/>
      <c r="DUP4752" s="691"/>
      <c r="DUQ4752" s="689"/>
      <c r="DUR4752" s="691"/>
      <c r="DUS4752" s="689"/>
      <c r="DUT4752" s="691"/>
      <c r="DUU4752" s="689"/>
      <c r="DUV4752" s="691"/>
      <c r="DUW4752" s="689"/>
      <c r="DUX4752" s="691"/>
      <c r="DUY4752" s="689"/>
      <c r="DUZ4752" s="691"/>
      <c r="DVA4752" s="689"/>
      <c r="DVB4752" s="691"/>
      <c r="DVC4752" s="689"/>
      <c r="DVD4752" s="691"/>
      <c r="DVE4752" s="689"/>
      <c r="DVF4752" s="691"/>
      <c r="DVG4752" s="689"/>
      <c r="DVH4752" s="691"/>
      <c r="DVI4752" s="689"/>
      <c r="DVJ4752" s="691"/>
      <c r="DVK4752" s="689"/>
      <c r="DVL4752" s="691"/>
      <c r="DVM4752" s="689"/>
      <c r="DVN4752" s="691"/>
      <c r="DVO4752" s="689"/>
      <c r="DVP4752" s="691"/>
      <c r="DVQ4752" s="689"/>
      <c r="DVR4752" s="691"/>
      <c r="DVS4752" s="689"/>
      <c r="DVT4752" s="691"/>
      <c r="DVU4752" s="689"/>
      <c r="DVV4752" s="691"/>
      <c r="DVW4752" s="689"/>
      <c r="DVX4752" s="691"/>
      <c r="DVY4752" s="689"/>
      <c r="DVZ4752" s="691"/>
      <c r="DWA4752" s="689"/>
      <c r="DWB4752" s="691"/>
      <c r="DWC4752" s="689"/>
      <c r="DWD4752" s="691"/>
      <c r="DWE4752" s="689"/>
      <c r="DWF4752" s="691"/>
      <c r="DWG4752" s="689"/>
      <c r="DWH4752" s="691"/>
      <c r="DWI4752" s="689"/>
      <c r="DWJ4752" s="691"/>
      <c r="DWK4752" s="689"/>
      <c r="DWL4752" s="691"/>
      <c r="DWM4752" s="689"/>
      <c r="DWN4752" s="691"/>
      <c r="DWO4752" s="689"/>
      <c r="DWP4752" s="691"/>
      <c r="DWQ4752" s="689"/>
      <c r="DWR4752" s="691"/>
      <c r="DWS4752" s="689"/>
      <c r="DWT4752" s="691"/>
      <c r="DWU4752" s="689"/>
      <c r="DWV4752" s="691"/>
      <c r="DWW4752" s="689"/>
      <c r="DWX4752" s="691"/>
      <c r="DWY4752" s="689"/>
      <c r="DWZ4752" s="691"/>
      <c r="DXA4752" s="689"/>
      <c r="DXB4752" s="691"/>
      <c r="DXC4752" s="689"/>
      <c r="DXD4752" s="691"/>
      <c r="DXE4752" s="689"/>
      <c r="DXF4752" s="691"/>
      <c r="DXG4752" s="689"/>
      <c r="DXH4752" s="691"/>
      <c r="DXI4752" s="689"/>
      <c r="DXJ4752" s="691"/>
      <c r="DXK4752" s="689"/>
      <c r="DXL4752" s="691"/>
      <c r="DXM4752" s="689"/>
      <c r="DXN4752" s="691"/>
      <c r="DXO4752" s="689"/>
      <c r="DXP4752" s="691"/>
      <c r="DXQ4752" s="689"/>
      <c r="DXR4752" s="691"/>
      <c r="DXS4752" s="689"/>
      <c r="DXT4752" s="691"/>
      <c r="DXU4752" s="689"/>
      <c r="DXV4752" s="691"/>
      <c r="DXW4752" s="689"/>
      <c r="DXX4752" s="691"/>
      <c r="DXY4752" s="689"/>
      <c r="DXZ4752" s="691"/>
      <c r="DYA4752" s="689"/>
      <c r="DYB4752" s="691"/>
      <c r="DYC4752" s="689"/>
      <c r="DYD4752" s="691"/>
      <c r="DYE4752" s="689"/>
      <c r="DYF4752" s="691"/>
      <c r="DYG4752" s="689"/>
      <c r="DYH4752" s="691"/>
      <c r="DYI4752" s="689"/>
      <c r="DYJ4752" s="691"/>
      <c r="DYK4752" s="689"/>
      <c r="DYL4752" s="691"/>
      <c r="DYM4752" s="689"/>
      <c r="DYN4752" s="691"/>
      <c r="DYO4752" s="689"/>
      <c r="DYP4752" s="691"/>
      <c r="DYQ4752" s="689"/>
      <c r="DYR4752" s="691"/>
      <c r="DYS4752" s="689"/>
      <c r="DYT4752" s="691"/>
      <c r="DYU4752" s="689"/>
      <c r="DYV4752" s="691"/>
      <c r="DYW4752" s="689"/>
      <c r="DYX4752" s="691"/>
      <c r="DYY4752" s="689"/>
      <c r="DYZ4752" s="691"/>
      <c r="DZA4752" s="689"/>
      <c r="DZB4752" s="691"/>
      <c r="DZC4752" s="689"/>
      <c r="DZD4752" s="691"/>
      <c r="DZE4752" s="689"/>
      <c r="DZF4752" s="691"/>
      <c r="DZG4752" s="689"/>
      <c r="DZH4752" s="691"/>
      <c r="DZI4752" s="689"/>
      <c r="DZJ4752" s="691"/>
      <c r="DZK4752" s="689"/>
      <c r="DZL4752" s="691"/>
      <c r="DZM4752" s="689"/>
      <c r="DZN4752" s="691"/>
      <c r="DZO4752" s="689"/>
      <c r="DZP4752" s="691"/>
      <c r="DZQ4752" s="689"/>
      <c r="DZR4752" s="691"/>
      <c r="DZS4752" s="689"/>
      <c r="DZT4752" s="691"/>
      <c r="DZU4752" s="689"/>
      <c r="DZV4752" s="691"/>
      <c r="DZW4752" s="689"/>
      <c r="DZX4752" s="691"/>
      <c r="DZY4752" s="689"/>
      <c r="DZZ4752" s="691"/>
      <c r="EAA4752" s="689"/>
      <c r="EAB4752" s="691"/>
      <c r="EAC4752" s="689"/>
      <c r="EAD4752" s="691"/>
      <c r="EAE4752" s="689"/>
      <c r="EAF4752" s="691"/>
      <c r="EAG4752" s="689"/>
      <c r="EAH4752" s="691"/>
      <c r="EAI4752" s="689"/>
      <c r="EAJ4752" s="691"/>
      <c r="EAK4752" s="689"/>
      <c r="EAL4752" s="691"/>
      <c r="EAM4752" s="689"/>
      <c r="EAN4752" s="691"/>
      <c r="EAO4752" s="689"/>
      <c r="EAP4752" s="691"/>
      <c r="EAQ4752" s="689"/>
      <c r="EAR4752" s="691"/>
      <c r="EAS4752" s="689"/>
      <c r="EAT4752" s="691"/>
      <c r="EAU4752" s="689"/>
      <c r="EAV4752" s="691"/>
      <c r="EAW4752" s="689"/>
      <c r="EAX4752" s="691"/>
      <c r="EAY4752" s="689"/>
      <c r="EAZ4752" s="691"/>
      <c r="EBA4752" s="689"/>
      <c r="EBB4752" s="691"/>
      <c r="EBC4752" s="689"/>
      <c r="EBD4752" s="691"/>
      <c r="EBE4752" s="689"/>
      <c r="EBF4752" s="691"/>
      <c r="EBG4752" s="689"/>
      <c r="EBH4752" s="691"/>
      <c r="EBI4752" s="689"/>
      <c r="EBJ4752" s="691"/>
      <c r="EBK4752" s="689"/>
      <c r="EBL4752" s="691"/>
      <c r="EBM4752" s="689"/>
      <c r="EBN4752" s="691"/>
      <c r="EBO4752" s="689"/>
      <c r="EBP4752" s="691"/>
      <c r="EBQ4752" s="689"/>
      <c r="EBR4752" s="691"/>
      <c r="EBS4752" s="689"/>
      <c r="EBT4752" s="691"/>
      <c r="EBU4752" s="689"/>
      <c r="EBV4752" s="691"/>
      <c r="EBW4752" s="689"/>
      <c r="EBX4752" s="691"/>
      <c r="EBY4752" s="689"/>
      <c r="EBZ4752" s="691"/>
      <c r="ECA4752" s="689"/>
      <c r="ECB4752" s="691"/>
      <c r="ECC4752" s="689"/>
      <c r="ECD4752" s="691"/>
      <c r="ECE4752" s="689"/>
      <c r="ECF4752" s="691"/>
      <c r="ECG4752" s="689"/>
      <c r="ECH4752" s="691"/>
      <c r="ECI4752" s="689"/>
      <c r="ECJ4752" s="691"/>
      <c r="ECK4752" s="689"/>
      <c r="ECL4752" s="691"/>
      <c r="ECM4752" s="689"/>
      <c r="ECN4752" s="691"/>
      <c r="ECO4752" s="689"/>
      <c r="ECP4752" s="691"/>
      <c r="ECQ4752" s="689"/>
      <c r="ECR4752" s="691"/>
      <c r="ECS4752" s="689"/>
      <c r="ECT4752" s="691"/>
      <c r="ECU4752" s="689"/>
      <c r="ECV4752" s="691"/>
      <c r="ECW4752" s="689"/>
      <c r="ECX4752" s="691"/>
      <c r="ECY4752" s="689"/>
      <c r="ECZ4752" s="691"/>
      <c r="EDA4752" s="689"/>
      <c r="EDB4752" s="691"/>
      <c r="EDC4752" s="689"/>
      <c r="EDD4752" s="691"/>
      <c r="EDE4752" s="689"/>
      <c r="EDF4752" s="691"/>
      <c r="EDG4752" s="689"/>
      <c r="EDH4752" s="691"/>
      <c r="EDI4752" s="689"/>
      <c r="EDJ4752" s="691"/>
      <c r="EDK4752" s="689"/>
      <c r="EDL4752" s="691"/>
      <c r="EDM4752" s="689"/>
      <c r="EDN4752" s="691"/>
      <c r="EDO4752" s="689"/>
      <c r="EDP4752" s="691"/>
      <c r="EDQ4752" s="689"/>
      <c r="EDR4752" s="691"/>
      <c r="EDS4752" s="689"/>
      <c r="EDT4752" s="691"/>
      <c r="EDU4752" s="689"/>
      <c r="EDV4752" s="691"/>
      <c r="EDW4752" s="689"/>
      <c r="EDX4752" s="691"/>
      <c r="EDY4752" s="689"/>
      <c r="EDZ4752" s="691"/>
      <c r="EEA4752" s="689"/>
      <c r="EEB4752" s="691"/>
      <c r="EEC4752" s="689"/>
      <c r="EED4752" s="691"/>
      <c r="EEE4752" s="689"/>
      <c r="EEF4752" s="691"/>
      <c r="EEG4752" s="689"/>
      <c r="EEH4752" s="691"/>
      <c r="EEI4752" s="689"/>
      <c r="EEJ4752" s="691"/>
      <c r="EEK4752" s="689"/>
      <c r="EEL4752" s="691"/>
      <c r="EEM4752" s="689"/>
      <c r="EEN4752" s="691"/>
      <c r="EEO4752" s="689"/>
      <c r="EEP4752" s="691"/>
      <c r="EEQ4752" s="689"/>
      <c r="EER4752" s="691"/>
      <c r="EES4752" s="689"/>
      <c r="EET4752" s="691"/>
      <c r="EEU4752" s="689"/>
      <c r="EEV4752" s="691"/>
      <c r="EEW4752" s="689"/>
      <c r="EEX4752" s="691"/>
      <c r="EEY4752" s="689"/>
      <c r="EEZ4752" s="691"/>
      <c r="EFA4752" s="689"/>
      <c r="EFB4752" s="691"/>
      <c r="EFC4752" s="689"/>
      <c r="EFD4752" s="691"/>
      <c r="EFE4752" s="689"/>
      <c r="EFF4752" s="691"/>
      <c r="EFG4752" s="689"/>
      <c r="EFH4752" s="691"/>
      <c r="EFI4752" s="689"/>
      <c r="EFJ4752" s="691"/>
      <c r="EFK4752" s="689"/>
      <c r="EFL4752" s="691"/>
      <c r="EFM4752" s="689"/>
      <c r="EFN4752" s="691"/>
      <c r="EFO4752" s="689"/>
      <c r="EFP4752" s="691"/>
      <c r="EFQ4752" s="689"/>
      <c r="EFR4752" s="691"/>
      <c r="EFS4752" s="689"/>
      <c r="EFT4752" s="691"/>
      <c r="EFU4752" s="689"/>
      <c r="EFV4752" s="691"/>
      <c r="EFW4752" s="689"/>
      <c r="EFX4752" s="691"/>
      <c r="EFY4752" s="689"/>
      <c r="EFZ4752" s="691"/>
      <c r="EGA4752" s="689"/>
      <c r="EGB4752" s="691"/>
      <c r="EGC4752" s="689"/>
      <c r="EGD4752" s="691"/>
      <c r="EGE4752" s="689"/>
      <c r="EGF4752" s="691"/>
      <c r="EGG4752" s="689"/>
      <c r="EGH4752" s="691"/>
      <c r="EGI4752" s="689"/>
      <c r="EGJ4752" s="691"/>
      <c r="EGK4752" s="689"/>
      <c r="EGL4752" s="691"/>
      <c r="EGM4752" s="689"/>
      <c r="EGN4752" s="691"/>
      <c r="EGO4752" s="689"/>
      <c r="EGP4752" s="691"/>
      <c r="EGQ4752" s="689"/>
      <c r="EGR4752" s="691"/>
      <c r="EGS4752" s="689"/>
      <c r="EGT4752" s="691"/>
      <c r="EGU4752" s="689"/>
      <c r="EGV4752" s="691"/>
      <c r="EGW4752" s="689"/>
      <c r="EGX4752" s="691"/>
      <c r="EGY4752" s="689"/>
      <c r="EGZ4752" s="691"/>
      <c r="EHA4752" s="689"/>
      <c r="EHB4752" s="691"/>
      <c r="EHC4752" s="689"/>
      <c r="EHD4752" s="691"/>
      <c r="EHE4752" s="689"/>
      <c r="EHF4752" s="691"/>
      <c r="EHG4752" s="689"/>
      <c r="EHH4752" s="691"/>
      <c r="EHI4752" s="689"/>
      <c r="EHJ4752" s="691"/>
      <c r="EHK4752" s="689"/>
      <c r="EHL4752" s="691"/>
      <c r="EHM4752" s="689"/>
      <c r="EHN4752" s="691"/>
      <c r="EHO4752" s="689"/>
      <c r="EHP4752" s="691"/>
      <c r="EHQ4752" s="689"/>
      <c r="EHR4752" s="691"/>
      <c r="EHS4752" s="689"/>
      <c r="EHT4752" s="691"/>
      <c r="EHU4752" s="689"/>
      <c r="EHV4752" s="691"/>
      <c r="EHW4752" s="689"/>
      <c r="EHX4752" s="691"/>
      <c r="EHY4752" s="689"/>
      <c r="EHZ4752" s="691"/>
      <c r="EIA4752" s="689"/>
      <c r="EIB4752" s="691"/>
      <c r="EIC4752" s="689"/>
      <c r="EID4752" s="691"/>
      <c r="EIE4752" s="689"/>
      <c r="EIF4752" s="691"/>
      <c r="EIG4752" s="689"/>
      <c r="EIH4752" s="691"/>
      <c r="EII4752" s="689"/>
      <c r="EIJ4752" s="691"/>
      <c r="EIK4752" s="689"/>
      <c r="EIL4752" s="691"/>
      <c r="EIM4752" s="689"/>
      <c r="EIN4752" s="691"/>
      <c r="EIO4752" s="689"/>
      <c r="EIP4752" s="691"/>
      <c r="EIQ4752" s="689"/>
      <c r="EIR4752" s="691"/>
      <c r="EIS4752" s="689"/>
      <c r="EIT4752" s="691"/>
      <c r="EIU4752" s="689"/>
      <c r="EIV4752" s="691"/>
      <c r="EIW4752" s="689"/>
      <c r="EIX4752" s="691"/>
      <c r="EIY4752" s="689"/>
      <c r="EIZ4752" s="691"/>
      <c r="EJA4752" s="689"/>
      <c r="EJB4752" s="691"/>
      <c r="EJC4752" s="689"/>
      <c r="EJD4752" s="691"/>
      <c r="EJE4752" s="689"/>
      <c r="EJF4752" s="691"/>
      <c r="EJG4752" s="689"/>
      <c r="EJH4752" s="691"/>
      <c r="EJI4752" s="689"/>
      <c r="EJJ4752" s="691"/>
      <c r="EJK4752" s="689"/>
      <c r="EJL4752" s="691"/>
      <c r="EJM4752" s="689"/>
      <c r="EJN4752" s="691"/>
      <c r="EJO4752" s="689"/>
      <c r="EJP4752" s="691"/>
      <c r="EJQ4752" s="689"/>
      <c r="EJR4752" s="691"/>
      <c r="EJS4752" s="689"/>
      <c r="EJT4752" s="691"/>
      <c r="EJU4752" s="689"/>
      <c r="EJV4752" s="691"/>
      <c r="EJW4752" s="689"/>
      <c r="EJX4752" s="691"/>
      <c r="EJY4752" s="689"/>
      <c r="EJZ4752" s="691"/>
      <c r="EKA4752" s="689"/>
      <c r="EKB4752" s="691"/>
      <c r="EKC4752" s="689"/>
      <c r="EKD4752" s="691"/>
      <c r="EKE4752" s="689"/>
      <c r="EKF4752" s="691"/>
      <c r="EKG4752" s="689"/>
      <c r="EKH4752" s="691"/>
      <c r="EKI4752" s="689"/>
      <c r="EKJ4752" s="691"/>
      <c r="EKK4752" s="689"/>
      <c r="EKL4752" s="691"/>
      <c r="EKM4752" s="689"/>
      <c r="EKN4752" s="691"/>
      <c r="EKO4752" s="689"/>
      <c r="EKP4752" s="691"/>
      <c r="EKQ4752" s="689"/>
      <c r="EKR4752" s="691"/>
      <c r="EKS4752" s="689"/>
      <c r="EKT4752" s="691"/>
      <c r="EKU4752" s="689"/>
      <c r="EKV4752" s="691"/>
      <c r="EKW4752" s="689"/>
      <c r="EKX4752" s="691"/>
      <c r="EKY4752" s="689"/>
      <c r="EKZ4752" s="691"/>
      <c r="ELA4752" s="689"/>
      <c r="ELB4752" s="691"/>
      <c r="ELC4752" s="689"/>
      <c r="ELD4752" s="691"/>
      <c r="ELE4752" s="689"/>
      <c r="ELF4752" s="691"/>
      <c r="ELG4752" s="689"/>
      <c r="ELH4752" s="691"/>
      <c r="ELI4752" s="689"/>
      <c r="ELJ4752" s="691"/>
      <c r="ELK4752" s="689"/>
      <c r="ELL4752" s="691"/>
      <c r="ELM4752" s="689"/>
      <c r="ELN4752" s="691"/>
      <c r="ELO4752" s="689"/>
      <c r="ELP4752" s="691"/>
      <c r="ELQ4752" s="689"/>
      <c r="ELR4752" s="691"/>
      <c r="ELS4752" s="689"/>
      <c r="ELT4752" s="691"/>
      <c r="ELU4752" s="689"/>
      <c r="ELV4752" s="691"/>
      <c r="ELW4752" s="689"/>
      <c r="ELX4752" s="691"/>
      <c r="ELY4752" s="689"/>
      <c r="ELZ4752" s="691"/>
      <c r="EMA4752" s="689"/>
      <c r="EMB4752" s="691"/>
      <c r="EMC4752" s="689"/>
      <c r="EMD4752" s="691"/>
      <c r="EME4752" s="689"/>
      <c r="EMF4752" s="691"/>
      <c r="EMG4752" s="689"/>
      <c r="EMH4752" s="691"/>
      <c r="EMI4752" s="689"/>
      <c r="EMJ4752" s="691"/>
      <c r="EMK4752" s="689"/>
      <c r="EML4752" s="691"/>
      <c r="EMM4752" s="689"/>
      <c r="EMN4752" s="691"/>
      <c r="EMO4752" s="689"/>
      <c r="EMP4752" s="691"/>
      <c r="EMQ4752" s="689"/>
      <c r="EMR4752" s="691"/>
      <c r="EMS4752" s="689"/>
      <c r="EMT4752" s="691"/>
      <c r="EMU4752" s="689"/>
      <c r="EMV4752" s="691"/>
      <c r="EMW4752" s="689"/>
      <c r="EMX4752" s="691"/>
      <c r="EMY4752" s="689"/>
      <c r="EMZ4752" s="691"/>
      <c r="ENA4752" s="689"/>
      <c r="ENB4752" s="691"/>
      <c r="ENC4752" s="689"/>
      <c r="END4752" s="691"/>
      <c r="ENE4752" s="689"/>
      <c r="ENF4752" s="691"/>
      <c r="ENG4752" s="689"/>
      <c r="ENH4752" s="691"/>
      <c r="ENI4752" s="689"/>
      <c r="ENJ4752" s="691"/>
      <c r="ENK4752" s="689"/>
      <c r="ENL4752" s="691"/>
      <c r="ENM4752" s="689"/>
      <c r="ENN4752" s="691"/>
      <c r="ENO4752" s="689"/>
      <c r="ENP4752" s="691"/>
      <c r="ENQ4752" s="689"/>
      <c r="ENR4752" s="691"/>
      <c r="ENS4752" s="689"/>
      <c r="ENT4752" s="691"/>
      <c r="ENU4752" s="689"/>
      <c r="ENV4752" s="691"/>
      <c r="ENW4752" s="689"/>
      <c r="ENX4752" s="691"/>
      <c r="ENY4752" s="689"/>
      <c r="ENZ4752" s="691"/>
      <c r="EOA4752" s="689"/>
      <c r="EOB4752" s="691"/>
      <c r="EOC4752" s="689"/>
      <c r="EOD4752" s="691"/>
      <c r="EOE4752" s="689"/>
      <c r="EOF4752" s="691"/>
      <c r="EOG4752" s="689"/>
      <c r="EOH4752" s="691"/>
      <c r="EOI4752" s="689"/>
      <c r="EOJ4752" s="691"/>
      <c r="EOK4752" s="689"/>
      <c r="EOL4752" s="691"/>
      <c r="EOM4752" s="689"/>
      <c r="EON4752" s="691"/>
      <c r="EOO4752" s="689"/>
      <c r="EOP4752" s="691"/>
      <c r="EOQ4752" s="689"/>
      <c r="EOR4752" s="691"/>
      <c r="EOS4752" s="689"/>
      <c r="EOT4752" s="691"/>
      <c r="EOU4752" s="689"/>
      <c r="EOV4752" s="691"/>
      <c r="EOW4752" s="689"/>
      <c r="EOX4752" s="691"/>
      <c r="EOY4752" s="689"/>
      <c r="EOZ4752" s="691"/>
      <c r="EPA4752" s="689"/>
      <c r="EPB4752" s="691"/>
      <c r="EPC4752" s="689"/>
      <c r="EPD4752" s="691"/>
      <c r="EPE4752" s="689"/>
      <c r="EPF4752" s="691"/>
      <c r="EPG4752" s="689"/>
      <c r="EPH4752" s="691"/>
      <c r="EPI4752" s="689"/>
      <c r="EPJ4752" s="691"/>
      <c r="EPK4752" s="689"/>
      <c r="EPL4752" s="691"/>
      <c r="EPM4752" s="689"/>
      <c r="EPN4752" s="691"/>
      <c r="EPO4752" s="689"/>
      <c r="EPP4752" s="691"/>
      <c r="EPQ4752" s="689"/>
      <c r="EPR4752" s="691"/>
      <c r="EPS4752" s="689"/>
      <c r="EPT4752" s="691"/>
      <c r="EPU4752" s="689"/>
      <c r="EPV4752" s="691"/>
      <c r="EPW4752" s="689"/>
      <c r="EPX4752" s="691"/>
      <c r="EPY4752" s="689"/>
      <c r="EPZ4752" s="691"/>
      <c r="EQA4752" s="689"/>
      <c r="EQB4752" s="691"/>
      <c r="EQC4752" s="689"/>
      <c r="EQD4752" s="691"/>
      <c r="EQE4752" s="689"/>
      <c r="EQF4752" s="691"/>
      <c r="EQG4752" s="689"/>
      <c r="EQH4752" s="691"/>
      <c r="EQI4752" s="689"/>
      <c r="EQJ4752" s="691"/>
      <c r="EQK4752" s="689"/>
      <c r="EQL4752" s="691"/>
      <c r="EQM4752" s="689"/>
      <c r="EQN4752" s="691"/>
      <c r="EQO4752" s="689"/>
      <c r="EQP4752" s="691"/>
      <c r="EQQ4752" s="689"/>
      <c r="EQR4752" s="691"/>
      <c r="EQS4752" s="689"/>
      <c r="EQT4752" s="691"/>
      <c r="EQU4752" s="689"/>
      <c r="EQV4752" s="691"/>
      <c r="EQW4752" s="689"/>
      <c r="EQX4752" s="691"/>
      <c r="EQY4752" s="689"/>
      <c r="EQZ4752" s="691"/>
      <c r="ERA4752" s="689"/>
      <c r="ERB4752" s="691"/>
      <c r="ERC4752" s="689"/>
      <c r="ERD4752" s="691"/>
      <c r="ERE4752" s="689"/>
      <c r="ERF4752" s="691"/>
      <c r="ERG4752" s="689"/>
      <c r="ERH4752" s="691"/>
      <c r="ERI4752" s="689"/>
      <c r="ERJ4752" s="691"/>
      <c r="ERK4752" s="689"/>
      <c r="ERL4752" s="691"/>
      <c r="ERM4752" s="689"/>
      <c r="ERN4752" s="691"/>
      <c r="ERO4752" s="689"/>
      <c r="ERP4752" s="691"/>
      <c r="ERQ4752" s="689"/>
      <c r="ERR4752" s="691"/>
      <c r="ERS4752" s="689"/>
      <c r="ERT4752" s="691"/>
      <c r="ERU4752" s="689"/>
      <c r="ERV4752" s="691"/>
      <c r="ERW4752" s="689"/>
      <c r="ERX4752" s="691"/>
      <c r="ERY4752" s="689"/>
      <c r="ERZ4752" s="691"/>
      <c r="ESA4752" s="689"/>
      <c r="ESB4752" s="691"/>
      <c r="ESC4752" s="689"/>
      <c r="ESD4752" s="691"/>
      <c r="ESE4752" s="689"/>
      <c r="ESF4752" s="691"/>
      <c r="ESG4752" s="689"/>
      <c r="ESH4752" s="691"/>
      <c r="ESI4752" s="689"/>
      <c r="ESJ4752" s="691"/>
      <c r="ESK4752" s="689"/>
      <c r="ESL4752" s="691"/>
      <c r="ESM4752" s="689"/>
      <c r="ESN4752" s="691"/>
      <c r="ESO4752" s="689"/>
      <c r="ESP4752" s="691"/>
      <c r="ESQ4752" s="689"/>
      <c r="ESR4752" s="691"/>
      <c r="ESS4752" s="689"/>
      <c r="EST4752" s="691"/>
      <c r="ESU4752" s="689"/>
      <c r="ESV4752" s="691"/>
      <c r="ESW4752" s="689"/>
      <c r="ESX4752" s="691"/>
      <c r="ESY4752" s="689"/>
      <c r="ESZ4752" s="691"/>
      <c r="ETA4752" s="689"/>
      <c r="ETB4752" s="691"/>
      <c r="ETC4752" s="689"/>
      <c r="ETD4752" s="691"/>
      <c r="ETE4752" s="689"/>
      <c r="ETF4752" s="691"/>
      <c r="ETG4752" s="689"/>
      <c r="ETH4752" s="691"/>
      <c r="ETI4752" s="689"/>
      <c r="ETJ4752" s="691"/>
      <c r="ETK4752" s="689"/>
      <c r="ETL4752" s="691"/>
      <c r="ETM4752" s="689"/>
      <c r="ETN4752" s="691"/>
      <c r="ETO4752" s="689"/>
      <c r="ETP4752" s="691"/>
      <c r="ETQ4752" s="689"/>
      <c r="ETR4752" s="691"/>
      <c r="ETS4752" s="689"/>
      <c r="ETT4752" s="691"/>
      <c r="ETU4752" s="689"/>
      <c r="ETV4752" s="691"/>
      <c r="ETW4752" s="689"/>
      <c r="ETX4752" s="691"/>
      <c r="ETY4752" s="689"/>
      <c r="ETZ4752" s="691"/>
      <c r="EUA4752" s="689"/>
      <c r="EUB4752" s="691"/>
      <c r="EUC4752" s="689"/>
      <c r="EUD4752" s="691"/>
      <c r="EUE4752" s="689"/>
      <c r="EUF4752" s="691"/>
      <c r="EUG4752" s="689"/>
      <c r="EUH4752" s="691"/>
      <c r="EUI4752" s="689"/>
      <c r="EUJ4752" s="691"/>
      <c r="EUK4752" s="689"/>
      <c r="EUL4752" s="691"/>
      <c r="EUM4752" s="689"/>
      <c r="EUN4752" s="691"/>
      <c r="EUO4752" s="689"/>
      <c r="EUP4752" s="691"/>
      <c r="EUQ4752" s="689"/>
      <c r="EUR4752" s="691"/>
      <c r="EUS4752" s="689"/>
      <c r="EUT4752" s="691"/>
      <c r="EUU4752" s="689"/>
      <c r="EUV4752" s="691"/>
      <c r="EUW4752" s="689"/>
      <c r="EUX4752" s="691"/>
      <c r="EUY4752" s="689"/>
      <c r="EUZ4752" s="691"/>
      <c r="EVA4752" s="689"/>
      <c r="EVB4752" s="691"/>
      <c r="EVC4752" s="689"/>
      <c r="EVD4752" s="691"/>
      <c r="EVE4752" s="689"/>
      <c r="EVF4752" s="691"/>
      <c r="EVG4752" s="689"/>
      <c r="EVH4752" s="691"/>
      <c r="EVI4752" s="689"/>
      <c r="EVJ4752" s="691"/>
      <c r="EVK4752" s="689"/>
      <c r="EVL4752" s="691"/>
      <c r="EVM4752" s="689"/>
      <c r="EVN4752" s="691"/>
      <c r="EVO4752" s="689"/>
      <c r="EVP4752" s="691"/>
      <c r="EVQ4752" s="689"/>
      <c r="EVR4752" s="691"/>
      <c r="EVS4752" s="689"/>
      <c r="EVT4752" s="691"/>
      <c r="EVU4752" s="689"/>
      <c r="EVV4752" s="691"/>
      <c r="EVW4752" s="689"/>
      <c r="EVX4752" s="691"/>
      <c r="EVY4752" s="689"/>
      <c r="EVZ4752" s="691"/>
      <c r="EWA4752" s="689"/>
      <c r="EWB4752" s="691"/>
      <c r="EWC4752" s="689"/>
      <c r="EWD4752" s="691"/>
      <c r="EWE4752" s="689"/>
      <c r="EWF4752" s="691"/>
      <c r="EWG4752" s="689"/>
      <c r="EWH4752" s="691"/>
      <c r="EWI4752" s="689"/>
      <c r="EWJ4752" s="691"/>
      <c r="EWK4752" s="689"/>
      <c r="EWL4752" s="691"/>
      <c r="EWM4752" s="689"/>
      <c r="EWN4752" s="691"/>
      <c r="EWO4752" s="689"/>
      <c r="EWP4752" s="691"/>
      <c r="EWQ4752" s="689"/>
      <c r="EWR4752" s="691"/>
      <c r="EWS4752" s="689"/>
      <c r="EWT4752" s="691"/>
      <c r="EWU4752" s="689"/>
      <c r="EWV4752" s="691"/>
      <c r="EWW4752" s="689"/>
      <c r="EWX4752" s="691"/>
      <c r="EWY4752" s="689"/>
      <c r="EWZ4752" s="691"/>
      <c r="EXA4752" s="689"/>
      <c r="EXB4752" s="691"/>
      <c r="EXC4752" s="689"/>
      <c r="EXD4752" s="691"/>
      <c r="EXE4752" s="689"/>
      <c r="EXF4752" s="691"/>
      <c r="EXG4752" s="689"/>
      <c r="EXH4752" s="691"/>
      <c r="EXI4752" s="689"/>
      <c r="EXJ4752" s="691"/>
      <c r="EXK4752" s="689"/>
      <c r="EXL4752" s="691"/>
      <c r="EXM4752" s="689"/>
      <c r="EXN4752" s="691"/>
      <c r="EXO4752" s="689"/>
      <c r="EXP4752" s="691"/>
      <c r="EXQ4752" s="689"/>
      <c r="EXR4752" s="691"/>
      <c r="EXS4752" s="689"/>
      <c r="EXT4752" s="691"/>
      <c r="EXU4752" s="689"/>
      <c r="EXV4752" s="691"/>
      <c r="EXW4752" s="689"/>
      <c r="EXX4752" s="691"/>
      <c r="EXY4752" s="689"/>
      <c r="EXZ4752" s="691"/>
      <c r="EYA4752" s="689"/>
      <c r="EYB4752" s="691"/>
      <c r="EYC4752" s="689"/>
      <c r="EYD4752" s="691"/>
      <c r="EYE4752" s="689"/>
      <c r="EYF4752" s="691"/>
      <c r="EYG4752" s="689"/>
      <c r="EYH4752" s="691"/>
      <c r="EYI4752" s="689"/>
      <c r="EYJ4752" s="691"/>
      <c r="EYK4752" s="689"/>
      <c r="EYL4752" s="691"/>
      <c r="EYM4752" s="689"/>
      <c r="EYN4752" s="691"/>
      <c r="EYO4752" s="689"/>
      <c r="EYP4752" s="691"/>
      <c r="EYQ4752" s="689"/>
      <c r="EYR4752" s="691"/>
      <c r="EYS4752" s="689"/>
      <c r="EYT4752" s="691"/>
      <c r="EYU4752" s="689"/>
      <c r="EYV4752" s="691"/>
      <c r="EYW4752" s="689"/>
      <c r="EYX4752" s="691"/>
      <c r="EYY4752" s="689"/>
      <c r="EYZ4752" s="691"/>
      <c r="EZA4752" s="689"/>
      <c r="EZB4752" s="691"/>
      <c r="EZC4752" s="689"/>
      <c r="EZD4752" s="691"/>
      <c r="EZE4752" s="689"/>
      <c r="EZF4752" s="691"/>
      <c r="EZG4752" s="689"/>
      <c r="EZH4752" s="691"/>
      <c r="EZI4752" s="689"/>
      <c r="EZJ4752" s="691"/>
      <c r="EZK4752" s="689"/>
      <c r="EZL4752" s="691"/>
      <c r="EZM4752" s="689"/>
      <c r="EZN4752" s="691"/>
      <c r="EZO4752" s="689"/>
      <c r="EZP4752" s="691"/>
      <c r="EZQ4752" s="689"/>
      <c r="EZR4752" s="691"/>
      <c r="EZS4752" s="689"/>
      <c r="EZT4752" s="691"/>
      <c r="EZU4752" s="689"/>
      <c r="EZV4752" s="691"/>
      <c r="EZW4752" s="689"/>
      <c r="EZX4752" s="691"/>
      <c r="EZY4752" s="689"/>
      <c r="EZZ4752" s="691"/>
      <c r="FAA4752" s="689"/>
      <c r="FAB4752" s="691"/>
      <c r="FAC4752" s="689"/>
      <c r="FAD4752" s="691"/>
      <c r="FAE4752" s="689"/>
      <c r="FAF4752" s="691"/>
      <c r="FAG4752" s="689"/>
      <c r="FAH4752" s="691"/>
      <c r="FAI4752" s="689"/>
      <c r="FAJ4752" s="691"/>
      <c r="FAK4752" s="689"/>
      <c r="FAL4752" s="691"/>
      <c r="FAM4752" s="689"/>
      <c r="FAN4752" s="691"/>
      <c r="FAO4752" s="689"/>
      <c r="FAP4752" s="691"/>
      <c r="FAQ4752" s="689"/>
      <c r="FAR4752" s="691"/>
      <c r="FAS4752" s="689"/>
      <c r="FAT4752" s="691"/>
      <c r="FAU4752" s="689"/>
      <c r="FAV4752" s="691"/>
      <c r="FAW4752" s="689"/>
      <c r="FAX4752" s="691"/>
      <c r="FAY4752" s="689"/>
      <c r="FAZ4752" s="691"/>
      <c r="FBA4752" s="689"/>
      <c r="FBB4752" s="691"/>
      <c r="FBC4752" s="689"/>
      <c r="FBD4752" s="691"/>
      <c r="FBE4752" s="689"/>
      <c r="FBF4752" s="691"/>
      <c r="FBG4752" s="689"/>
      <c r="FBH4752" s="691"/>
      <c r="FBI4752" s="689"/>
      <c r="FBJ4752" s="691"/>
      <c r="FBK4752" s="689"/>
      <c r="FBL4752" s="691"/>
      <c r="FBM4752" s="689"/>
      <c r="FBN4752" s="691"/>
      <c r="FBO4752" s="689"/>
      <c r="FBP4752" s="691"/>
      <c r="FBQ4752" s="689"/>
      <c r="FBR4752" s="691"/>
      <c r="FBS4752" s="689"/>
      <c r="FBT4752" s="691"/>
      <c r="FBU4752" s="689"/>
      <c r="FBV4752" s="691"/>
      <c r="FBW4752" s="689"/>
      <c r="FBX4752" s="691"/>
      <c r="FBY4752" s="689"/>
      <c r="FBZ4752" s="691"/>
      <c r="FCA4752" s="689"/>
      <c r="FCB4752" s="691"/>
      <c r="FCC4752" s="689"/>
      <c r="FCD4752" s="691"/>
      <c r="FCE4752" s="689"/>
      <c r="FCF4752" s="691"/>
      <c r="FCG4752" s="689"/>
      <c r="FCH4752" s="691"/>
      <c r="FCI4752" s="689"/>
      <c r="FCJ4752" s="691"/>
      <c r="FCK4752" s="689"/>
      <c r="FCL4752" s="691"/>
      <c r="FCM4752" s="689"/>
      <c r="FCN4752" s="691"/>
      <c r="FCO4752" s="689"/>
      <c r="FCP4752" s="691"/>
      <c r="FCQ4752" s="689"/>
      <c r="FCR4752" s="691"/>
      <c r="FCS4752" s="689"/>
      <c r="FCT4752" s="691"/>
      <c r="FCU4752" s="689"/>
      <c r="FCV4752" s="691"/>
      <c r="FCW4752" s="689"/>
      <c r="FCX4752" s="691"/>
      <c r="FCY4752" s="689"/>
      <c r="FCZ4752" s="691"/>
      <c r="FDA4752" s="689"/>
      <c r="FDB4752" s="691"/>
      <c r="FDC4752" s="689"/>
      <c r="FDD4752" s="691"/>
      <c r="FDE4752" s="689"/>
      <c r="FDF4752" s="691"/>
      <c r="FDG4752" s="689"/>
      <c r="FDH4752" s="691"/>
      <c r="FDI4752" s="689"/>
      <c r="FDJ4752" s="691"/>
      <c r="FDK4752" s="689"/>
      <c r="FDL4752" s="691"/>
      <c r="FDM4752" s="689"/>
      <c r="FDN4752" s="691"/>
      <c r="FDO4752" s="689"/>
      <c r="FDP4752" s="691"/>
      <c r="FDQ4752" s="689"/>
      <c r="FDR4752" s="691"/>
      <c r="FDS4752" s="689"/>
      <c r="FDT4752" s="691"/>
      <c r="FDU4752" s="689"/>
      <c r="FDV4752" s="691"/>
      <c r="FDW4752" s="689"/>
      <c r="FDX4752" s="691"/>
      <c r="FDY4752" s="689"/>
      <c r="FDZ4752" s="691"/>
      <c r="FEA4752" s="689"/>
      <c r="FEB4752" s="691"/>
      <c r="FEC4752" s="689"/>
      <c r="FED4752" s="691"/>
      <c r="FEE4752" s="689"/>
      <c r="FEF4752" s="691"/>
      <c r="FEG4752" s="689"/>
      <c r="FEH4752" s="691"/>
      <c r="FEI4752" s="689"/>
      <c r="FEJ4752" s="691"/>
      <c r="FEK4752" s="689"/>
      <c r="FEL4752" s="691"/>
      <c r="FEM4752" s="689"/>
      <c r="FEN4752" s="691"/>
      <c r="FEO4752" s="689"/>
      <c r="FEP4752" s="691"/>
      <c r="FEQ4752" s="689"/>
      <c r="FER4752" s="691"/>
      <c r="FES4752" s="689"/>
      <c r="FET4752" s="691"/>
      <c r="FEU4752" s="689"/>
      <c r="FEV4752" s="691"/>
      <c r="FEW4752" s="689"/>
      <c r="FEX4752" s="691"/>
      <c r="FEY4752" s="689"/>
      <c r="FEZ4752" s="691"/>
      <c r="FFA4752" s="689"/>
      <c r="FFB4752" s="691"/>
      <c r="FFC4752" s="689"/>
      <c r="FFD4752" s="691"/>
      <c r="FFE4752" s="689"/>
      <c r="FFF4752" s="691"/>
      <c r="FFG4752" s="689"/>
      <c r="FFH4752" s="691"/>
      <c r="FFI4752" s="689"/>
      <c r="FFJ4752" s="691"/>
      <c r="FFK4752" s="689"/>
      <c r="FFL4752" s="691"/>
      <c r="FFM4752" s="689"/>
      <c r="FFN4752" s="691"/>
      <c r="FFO4752" s="689"/>
      <c r="FFP4752" s="691"/>
      <c r="FFQ4752" s="689"/>
      <c r="FFR4752" s="691"/>
      <c r="FFS4752" s="689"/>
      <c r="FFT4752" s="691"/>
      <c r="FFU4752" s="689"/>
      <c r="FFV4752" s="691"/>
      <c r="FFW4752" s="689"/>
      <c r="FFX4752" s="691"/>
      <c r="FFY4752" s="689"/>
      <c r="FFZ4752" s="691"/>
      <c r="FGA4752" s="689"/>
      <c r="FGB4752" s="691"/>
      <c r="FGC4752" s="689"/>
      <c r="FGD4752" s="691"/>
      <c r="FGE4752" s="689"/>
      <c r="FGF4752" s="691"/>
      <c r="FGG4752" s="689"/>
      <c r="FGH4752" s="691"/>
      <c r="FGI4752" s="689"/>
      <c r="FGJ4752" s="691"/>
      <c r="FGK4752" s="689"/>
      <c r="FGL4752" s="691"/>
      <c r="FGM4752" s="689"/>
      <c r="FGN4752" s="691"/>
      <c r="FGO4752" s="689"/>
      <c r="FGP4752" s="691"/>
      <c r="FGQ4752" s="689"/>
      <c r="FGR4752" s="691"/>
      <c r="FGS4752" s="689"/>
      <c r="FGT4752" s="691"/>
      <c r="FGU4752" s="689"/>
      <c r="FGV4752" s="691"/>
      <c r="FGW4752" s="689"/>
      <c r="FGX4752" s="691"/>
      <c r="FGY4752" s="689"/>
      <c r="FGZ4752" s="691"/>
      <c r="FHA4752" s="689"/>
      <c r="FHB4752" s="691"/>
      <c r="FHC4752" s="689"/>
      <c r="FHD4752" s="691"/>
      <c r="FHE4752" s="689"/>
      <c r="FHF4752" s="691"/>
      <c r="FHG4752" s="689"/>
      <c r="FHH4752" s="691"/>
      <c r="FHI4752" s="689"/>
      <c r="FHJ4752" s="691"/>
      <c r="FHK4752" s="689"/>
      <c r="FHL4752" s="691"/>
      <c r="FHM4752" s="689"/>
      <c r="FHN4752" s="691"/>
      <c r="FHO4752" s="689"/>
      <c r="FHP4752" s="691"/>
      <c r="FHQ4752" s="689"/>
      <c r="FHR4752" s="691"/>
      <c r="FHS4752" s="689"/>
      <c r="FHT4752" s="691"/>
      <c r="FHU4752" s="689"/>
      <c r="FHV4752" s="691"/>
      <c r="FHW4752" s="689"/>
      <c r="FHX4752" s="691"/>
      <c r="FHY4752" s="689"/>
      <c r="FHZ4752" s="691"/>
      <c r="FIA4752" s="689"/>
      <c r="FIB4752" s="691"/>
      <c r="FIC4752" s="689"/>
      <c r="FID4752" s="691"/>
      <c r="FIE4752" s="689"/>
      <c r="FIF4752" s="691"/>
      <c r="FIG4752" s="689"/>
      <c r="FIH4752" s="691"/>
      <c r="FII4752" s="689"/>
      <c r="FIJ4752" s="691"/>
      <c r="FIK4752" s="689"/>
      <c r="FIL4752" s="691"/>
      <c r="FIM4752" s="689"/>
      <c r="FIN4752" s="691"/>
      <c r="FIO4752" s="689"/>
      <c r="FIP4752" s="691"/>
      <c r="FIQ4752" s="689"/>
      <c r="FIR4752" s="691"/>
      <c r="FIS4752" s="689"/>
      <c r="FIT4752" s="691"/>
      <c r="FIU4752" s="689"/>
      <c r="FIV4752" s="691"/>
      <c r="FIW4752" s="689"/>
      <c r="FIX4752" s="691"/>
      <c r="FIY4752" s="689"/>
      <c r="FIZ4752" s="691"/>
      <c r="FJA4752" s="689"/>
      <c r="FJB4752" s="691"/>
      <c r="FJC4752" s="689"/>
      <c r="FJD4752" s="691"/>
      <c r="FJE4752" s="689"/>
      <c r="FJF4752" s="691"/>
      <c r="FJG4752" s="689"/>
      <c r="FJH4752" s="691"/>
      <c r="FJI4752" s="689"/>
      <c r="FJJ4752" s="691"/>
      <c r="FJK4752" s="689"/>
      <c r="FJL4752" s="691"/>
      <c r="FJM4752" s="689"/>
      <c r="FJN4752" s="691"/>
      <c r="FJO4752" s="689"/>
      <c r="FJP4752" s="691"/>
      <c r="FJQ4752" s="689"/>
      <c r="FJR4752" s="691"/>
      <c r="FJS4752" s="689"/>
      <c r="FJT4752" s="691"/>
      <c r="FJU4752" s="689"/>
      <c r="FJV4752" s="691"/>
      <c r="FJW4752" s="689"/>
      <c r="FJX4752" s="691"/>
      <c r="FJY4752" s="689"/>
      <c r="FJZ4752" s="691"/>
      <c r="FKA4752" s="689"/>
      <c r="FKB4752" s="691"/>
      <c r="FKC4752" s="689"/>
      <c r="FKD4752" s="691"/>
      <c r="FKE4752" s="689"/>
      <c r="FKF4752" s="691"/>
      <c r="FKG4752" s="689"/>
      <c r="FKH4752" s="691"/>
      <c r="FKI4752" s="689"/>
      <c r="FKJ4752" s="691"/>
      <c r="FKK4752" s="689"/>
      <c r="FKL4752" s="691"/>
      <c r="FKM4752" s="689"/>
      <c r="FKN4752" s="691"/>
      <c r="FKO4752" s="689"/>
      <c r="FKP4752" s="691"/>
      <c r="FKQ4752" s="689"/>
      <c r="FKR4752" s="691"/>
      <c r="FKS4752" s="689"/>
      <c r="FKT4752" s="691"/>
      <c r="FKU4752" s="689"/>
      <c r="FKV4752" s="691"/>
      <c r="FKW4752" s="689"/>
      <c r="FKX4752" s="691"/>
      <c r="FKY4752" s="689"/>
      <c r="FKZ4752" s="691"/>
      <c r="FLA4752" s="689"/>
      <c r="FLB4752" s="691"/>
      <c r="FLC4752" s="689"/>
      <c r="FLD4752" s="691"/>
      <c r="FLE4752" s="689"/>
      <c r="FLF4752" s="691"/>
      <c r="FLG4752" s="689"/>
      <c r="FLH4752" s="691"/>
      <c r="FLI4752" s="689"/>
      <c r="FLJ4752" s="691"/>
      <c r="FLK4752" s="689"/>
      <c r="FLL4752" s="691"/>
      <c r="FLM4752" s="689"/>
      <c r="FLN4752" s="691"/>
      <c r="FLO4752" s="689"/>
      <c r="FLP4752" s="691"/>
      <c r="FLQ4752" s="689"/>
      <c r="FLR4752" s="691"/>
      <c r="FLS4752" s="689"/>
      <c r="FLT4752" s="691"/>
      <c r="FLU4752" s="689"/>
      <c r="FLV4752" s="691"/>
      <c r="FLW4752" s="689"/>
      <c r="FLX4752" s="691"/>
      <c r="FLY4752" s="689"/>
      <c r="FLZ4752" s="691"/>
      <c r="FMA4752" s="689"/>
      <c r="FMB4752" s="691"/>
      <c r="FMC4752" s="689"/>
      <c r="FMD4752" s="691"/>
      <c r="FME4752" s="689"/>
      <c r="FMF4752" s="691"/>
      <c r="FMG4752" s="689"/>
      <c r="FMH4752" s="691"/>
      <c r="FMI4752" s="689"/>
      <c r="FMJ4752" s="691"/>
      <c r="FMK4752" s="689"/>
      <c r="FML4752" s="691"/>
      <c r="FMM4752" s="689"/>
      <c r="FMN4752" s="691"/>
      <c r="FMO4752" s="689"/>
      <c r="FMP4752" s="691"/>
      <c r="FMQ4752" s="689"/>
      <c r="FMR4752" s="691"/>
      <c r="FMS4752" s="689"/>
      <c r="FMT4752" s="691"/>
      <c r="FMU4752" s="689"/>
      <c r="FMV4752" s="691"/>
      <c r="FMW4752" s="689"/>
      <c r="FMX4752" s="691"/>
      <c r="FMY4752" s="689"/>
      <c r="FMZ4752" s="691"/>
      <c r="FNA4752" s="689"/>
      <c r="FNB4752" s="691"/>
      <c r="FNC4752" s="689"/>
      <c r="FND4752" s="691"/>
      <c r="FNE4752" s="689"/>
      <c r="FNF4752" s="691"/>
      <c r="FNG4752" s="689"/>
      <c r="FNH4752" s="691"/>
      <c r="FNI4752" s="689"/>
      <c r="FNJ4752" s="691"/>
      <c r="FNK4752" s="689"/>
      <c r="FNL4752" s="691"/>
      <c r="FNM4752" s="689"/>
      <c r="FNN4752" s="691"/>
      <c r="FNO4752" s="689"/>
      <c r="FNP4752" s="691"/>
      <c r="FNQ4752" s="689"/>
      <c r="FNR4752" s="691"/>
      <c r="FNS4752" s="689"/>
      <c r="FNT4752" s="691"/>
      <c r="FNU4752" s="689"/>
      <c r="FNV4752" s="691"/>
      <c r="FNW4752" s="689"/>
      <c r="FNX4752" s="691"/>
      <c r="FNY4752" s="689"/>
      <c r="FNZ4752" s="691"/>
      <c r="FOA4752" s="689"/>
      <c r="FOB4752" s="691"/>
      <c r="FOC4752" s="689"/>
      <c r="FOD4752" s="691"/>
      <c r="FOE4752" s="689"/>
      <c r="FOF4752" s="691"/>
      <c r="FOG4752" s="689"/>
      <c r="FOH4752" s="691"/>
      <c r="FOI4752" s="689"/>
      <c r="FOJ4752" s="691"/>
      <c r="FOK4752" s="689"/>
      <c r="FOL4752" s="691"/>
      <c r="FOM4752" s="689"/>
      <c r="FON4752" s="691"/>
      <c r="FOO4752" s="689"/>
      <c r="FOP4752" s="691"/>
      <c r="FOQ4752" s="689"/>
      <c r="FOR4752" s="691"/>
      <c r="FOS4752" s="689"/>
      <c r="FOT4752" s="691"/>
      <c r="FOU4752" s="689"/>
      <c r="FOV4752" s="691"/>
      <c r="FOW4752" s="689"/>
      <c r="FOX4752" s="691"/>
      <c r="FOY4752" s="689"/>
      <c r="FOZ4752" s="691"/>
      <c r="FPA4752" s="689"/>
      <c r="FPB4752" s="691"/>
      <c r="FPC4752" s="689"/>
      <c r="FPD4752" s="691"/>
      <c r="FPE4752" s="689"/>
      <c r="FPF4752" s="691"/>
      <c r="FPG4752" s="689"/>
      <c r="FPH4752" s="691"/>
      <c r="FPI4752" s="689"/>
      <c r="FPJ4752" s="691"/>
      <c r="FPK4752" s="689"/>
      <c r="FPL4752" s="691"/>
      <c r="FPM4752" s="689"/>
      <c r="FPN4752" s="691"/>
      <c r="FPO4752" s="689"/>
      <c r="FPP4752" s="691"/>
      <c r="FPQ4752" s="689"/>
      <c r="FPR4752" s="691"/>
      <c r="FPS4752" s="689"/>
      <c r="FPT4752" s="691"/>
      <c r="FPU4752" s="689"/>
      <c r="FPV4752" s="691"/>
      <c r="FPW4752" s="689"/>
      <c r="FPX4752" s="691"/>
      <c r="FPY4752" s="689"/>
      <c r="FPZ4752" s="691"/>
      <c r="FQA4752" s="689"/>
      <c r="FQB4752" s="691"/>
      <c r="FQC4752" s="689"/>
      <c r="FQD4752" s="691"/>
      <c r="FQE4752" s="689"/>
      <c r="FQF4752" s="691"/>
      <c r="FQG4752" s="689"/>
      <c r="FQH4752" s="691"/>
      <c r="FQI4752" s="689"/>
      <c r="FQJ4752" s="691"/>
      <c r="FQK4752" s="689"/>
      <c r="FQL4752" s="691"/>
      <c r="FQM4752" s="689"/>
      <c r="FQN4752" s="691"/>
      <c r="FQO4752" s="689"/>
      <c r="FQP4752" s="691"/>
      <c r="FQQ4752" s="689"/>
      <c r="FQR4752" s="691"/>
      <c r="FQS4752" s="689"/>
      <c r="FQT4752" s="691"/>
      <c r="FQU4752" s="689"/>
      <c r="FQV4752" s="691"/>
      <c r="FQW4752" s="689"/>
      <c r="FQX4752" s="691"/>
      <c r="FQY4752" s="689"/>
      <c r="FQZ4752" s="691"/>
      <c r="FRA4752" s="689"/>
      <c r="FRB4752" s="691"/>
      <c r="FRC4752" s="689"/>
      <c r="FRD4752" s="691"/>
      <c r="FRE4752" s="689"/>
      <c r="FRF4752" s="691"/>
      <c r="FRG4752" s="689"/>
      <c r="FRH4752" s="691"/>
      <c r="FRI4752" s="689"/>
      <c r="FRJ4752" s="691"/>
      <c r="FRK4752" s="689"/>
      <c r="FRL4752" s="691"/>
      <c r="FRM4752" s="689"/>
      <c r="FRN4752" s="691"/>
      <c r="FRO4752" s="689"/>
      <c r="FRP4752" s="691"/>
      <c r="FRQ4752" s="689"/>
      <c r="FRR4752" s="691"/>
      <c r="FRS4752" s="689"/>
      <c r="FRT4752" s="691"/>
      <c r="FRU4752" s="689"/>
      <c r="FRV4752" s="691"/>
      <c r="FRW4752" s="689"/>
      <c r="FRX4752" s="691"/>
      <c r="FRY4752" s="689"/>
      <c r="FRZ4752" s="691"/>
      <c r="FSA4752" s="689"/>
      <c r="FSB4752" s="691"/>
      <c r="FSC4752" s="689"/>
      <c r="FSD4752" s="691"/>
      <c r="FSE4752" s="689"/>
      <c r="FSF4752" s="691"/>
      <c r="FSG4752" s="689"/>
      <c r="FSH4752" s="691"/>
      <c r="FSI4752" s="689"/>
      <c r="FSJ4752" s="691"/>
      <c r="FSK4752" s="689"/>
      <c r="FSL4752" s="691"/>
      <c r="FSM4752" s="689"/>
      <c r="FSN4752" s="691"/>
      <c r="FSO4752" s="689"/>
      <c r="FSP4752" s="691"/>
      <c r="FSQ4752" s="689"/>
      <c r="FSR4752" s="691"/>
      <c r="FSS4752" s="689"/>
      <c r="FST4752" s="691"/>
      <c r="FSU4752" s="689"/>
      <c r="FSV4752" s="691"/>
      <c r="FSW4752" s="689"/>
      <c r="FSX4752" s="691"/>
      <c r="FSY4752" s="689"/>
      <c r="FSZ4752" s="691"/>
      <c r="FTA4752" s="689"/>
      <c r="FTB4752" s="691"/>
      <c r="FTC4752" s="689"/>
      <c r="FTD4752" s="691"/>
      <c r="FTE4752" s="689"/>
      <c r="FTF4752" s="691"/>
      <c r="FTG4752" s="689"/>
      <c r="FTH4752" s="691"/>
      <c r="FTI4752" s="689"/>
      <c r="FTJ4752" s="691"/>
      <c r="FTK4752" s="689"/>
      <c r="FTL4752" s="691"/>
      <c r="FTM4752" s="689"/>
      <c r="FTN4752" s="691"/>
      <c r="FTO4752" s="689"/>
      <c r="FTP4752" s="691"/>
      <c r="FTQ4752" s="689"/>
      <c r="FTR4752" s="691"/>
      <c r="FTS4752" s="689"/>
      <c r="FTT4752" s="691"/>
      <c r="FTU4752" s="689"/>
      <c r="FTV4752" s="691"/>
      <c r="FTW4752" s="689"/>
      <c r="FTX4752" s="691"/>
      <c r="FTY4752" s="689"/>
      <c r="FTZ4752" s="691"/>
      <c r="FUA4752" s="689"/>
      <c r="FUB4752" s="691"/>
      <c r="FUC4752" s="689"/>
      <c r="FUD4752" s="691"/>
      <c r="FUE4752" s="689"/>
      <c r="FUF4752" s="691"/>
      <c r="FUG4752" s="689"/>
      <c r="FUH4752" s="691"/>
      <c r="FUI4752" s="689"/>
      <c r="FUJ4752" s="691"/>
      <c r="FUK4752" s="689"/>
      <c r="FUL4752" s="691"/>
      <c r="FUM4752" s="689"/>
      <c r="FUN4752" s="691"/>
      <c r="FUO4752" s="689"/>
      <c r="FUP4752" s="691"/>
      <c r="FUQ4752" s="689"/>
      <c r="FUR4752" s="691"/>
      <c r="FUS4752" s="689"/>
      <c r="FUT4752" s="691"/>
      <c r="FUU4752" s="689"/>
      <c r="FUV4752" s="691"/>
      <c r="FUW4752" s="689"/>
      <c r="FUX4752" s="691"/>
      <c r="FUY4752" s="689"/>
      <c r="FUZ4752" s="691"/>
      <c r="FVA4752" s="689"/>
      <c r="FVB4752" s="691"/>
      <c r="FVC4752" s="689"/>
      <c r="FVD4752" s="691"/>
      <c r="FVE4752" s="689"/>
      <c r="FVF4752" s="691"/>
      <c r="FVG4752" s="689"/>
      <c r="FVH4752" s="691"/>
      <c r="FVI4752" s="689"/>
      <c r="FVJ4752" s="691"/>
      <c r="FVK4752" s="689"/>
      <c r="FVL4752" s="691"/>
      <c r="FVM4752" s="689"/>
      <c r="FVN4752" s="691"/>
      <c r="FVO4752" s="689"/>
      <c r="FVP4752" s="691"/>
      <c r="FVQ4752" s="689"/>
      <c r="FVR4752" s="691"/>
      <c r="FVS4752" s="689"/>
      <c r="FVT4752" s="691"/>
      <c r="FVU4752" s="689"/>
      <c r="FVV4752" s="691"/>
      <c r="FVW4752" s="689"/>
      <c r="FVX4752" s="691"/>
      <c r="FVY4752" s="689"/>
      <c r="FVZ4752" s="691"/>
      <c r="FWA4752" s="689"/>
      <c r="FWB4752" s="691"/>
      <c r="FWC4752" s="689"/>
      <c r="FWD4752" s="691"/>
      <c r="FWE4752" s="689"/>
      <c r="FWF4752" s="691"/>
      <c r="FWG4752" s="689"/>
      <c r="FWH4752" s="691"/>
      <c r="FWI4752" s="689"/>
      <c r="FWJ4752" s="691"/>
      <c r="FWK4752" s="689"/>
      <c r="FWL4752" s="691"/>
      <c r="FWM4752" s="689"/>
      <c r="FWN4752" s="691"/>
      <c r="FWO4752" s="689"/>
      <c r="FWP4752" s="691"/>
      <c r="FWQ4752" s="689"/>
      <c r="FWR4752" s="691"/>
      <c r="FWS4752" s="689"/>
      <c r="FWT4752" s="691"/>
      <c r="FWU4752" s="689"/>
      <c r="FWV4752" s="691"/>
      <c r="FWW4752" s="689"/>
      <c r="FWX4752" s="691"/>
      <c r="FWY4752" s="689"/>
      <c r="FWZ4752" s="691"/>
      <c r="FXA4752" s="689"/>
      <c r="FXB4752" s="691"/>
      <c r="FXC4752" s="689"/>
      <c r="FXD4752" s="691"/>
      <c r="FXE4752" s="689"/>
      <c r="FXF4752" s="691"/>
      <c r="FXG4752" s="689"/>
      <c r="FXH4752" s="691"/>
      <c r="FXI4752" s="689"/>
      <c r="FXJ4752" s="691"/>
      <c r="FXK4752" s="689"/>
      <c r="FXL4752" s="691"/>
      <c r="FXM4752" s="689"/>
      <c r="FXN4752" s="691"/>
      <c r="FXO4752" s="689"/>
      <c r="FXP4752" s="691"/>
      <c r="FXQ4752" s="689"/>
      <c r="FXR4752" s="691"/>
      <c r="FXS4752" s="689"/>
      <c r="FXT4752" s="691"/>
      <c r="FXU4752" s="689"/>
      <c r="FXV4752" s="691"/>
      <c r="FXW4752" s="689"/>
      <c r="FXX4752" s="691"/>
      <c r="FXY4752" s="689"/>
      <c r="FXZ4752" s="691"/>
      <c r="FYA4752" s="689"/>
      <c r="FYB4752" s="691"/>
      <c r="FYC4752" s="689"/>
      <c r="FYD4752" s="691"/>
      <c r="FYE4752" s="689"/>
      <c r="FYF4752" s="691"/>
      <c r="FYG4752" s="689"/>
      <c r="FYH4752" s="691"/>
      <c r="FYI4752" s="689"/>
      <c r="FYJ4752" s="691"/>
      <c r="FYK4752" s="689"/>
      <c r="FYL4752" s="691"/>
      <c r="FYM4752" s="689"/>
      <c r="FYN4752" s="691"/>
      <c r="FYO4752" s="689"/>
      <c r="FYP4752" s="691"/>
      <c r="FYQ4752" s="689"/>
      <c r="FYR4752" s="691"/>
      <c r="FYS4752" s="689"/>
      <c r="FYT4752" s="691"/>
      <c r="FYU4752" s="689"/>
      <c r="FYV4752" s="691"/>
      <c r="FYW4752" s="689"/>
      <c r="FYX4752" s="691"/>
      <c r="FYY4752" s="689"/>
      <c r="FYZ4752" s="691"/>
      <c r="FZA4752" s="689"/>
      <c r="FZB4752" s="691"/>
      <c r="FZC4752" s="689"/>
      <c r="FZD4752" s="691"/>
      <c r="FZE4752" s="689"/>
      <c r="FZF4752" s="691"/>
      <c r="FZG4752" s="689"/>
      <c r="FZH4752" s="691"/>
      <c r="FZI4752" s="689"/>
      <c r="FZJ4752" s="691"/>
      <c r="FZK4752" s="689"/>
      <c r="FZL4752" s="691"/>
      <c r="FZM4752" s="689"/>
      <c r="FZN4752" s="691"/>
      <c r="FZO4752" s="689"/>
      <c r="FZP4752" s="691"/>
      <c r="FZQ4752" s="689"/>
      <c r="FZR4752" s="691"/>
      <c r="FZS4752" s="689"/>
      <c r="FZT4752" s="691"/>
      <c r="FZU4752" s="689"/>
      <c r="FZV4752" s="691"/>
      <c r="FZW4752" s="689"/>
      <c r="FZX4752" s="691"/>
      <c r="FZY4752" s="689"/>
      <c r="FZZ4752" s="691"/>
      <c r="GAA4752" s="689"/>
      <c r="GAB4752" s="691"/>
      <c r="GAC4752" s="689"/>
      <c r="GAD4752" s="691"/>
      <c r="GAE4752" s="689"/>
      <c r="GAF4752" s="691"/>
      <c r="GAG4752" s="689"/>
      <c r="GAH4752" s="691"/>
      <c r="GAI4752" s="689"/>
      <c r="GAJ4752" s="691"/>
      <c r="GAK4752" s="689"/>
      <c r="GAL4752" s="691"/>
      <c r="GAM4752" s="689"/>
      <c r="GAN4752" s="691"/>
      <c r="GAO4752" s="689"/>
      <c r="GAP4752" s="691"/>
      <c r="GAQ4752" s="689"/>
      <c r="GAR4752" s="691"/>
      <c r="GAS4752" s="689"/>
      <c r="GAT4752" s="691"/>
      <c r="GAU4752" s="689"/>
      <c r="GAV4752" s="691"/>
      <c r="GAW4752" s="689"/>
      <c r="GAX4752" s="691"/>
      <c r="GAY4752" s="689"/>
      <c r="GAZ4752" s="691"/>
      <c r="GBA4752" s="689"/>
      <c r="GBB4752" s="691"/>
      <c r="GBC4752" s="689"/>
      <c r="GBD4752" s="691"/>
      <c r="GBE4752" s="689"/>
      <c r="GBF4752" s="691"/>
      <c r="GBG4752" s="689"/>
      <c r="GBH4752" s="691"/>
      <c r="GBI4752" s="689"/>
      <c r="GBJ4752" s="691"/>
      <c r="GBK4752" s="689"/>
      <c r="GBL4752" s="691"/>
      <c r="GBM4752" s="689"/>
      <c r="GBN4752" s="691"/>
      <c r="GBO4752" s="689"/>
      <c r="GBP4752" s="691"/>
      <c r="GBQ4752" s="689"/>
      <c r="GBR4752" s="691"/>
      <c r="GBS4752" s="689"/>
      <c r="GBT4752" s="691"/>
      <c r="GBU4752" s="689"/>
      <c r="GBV4752" s="691"/>
      <c r="GBW4752" s="689"/>
      <c r="GBX4752" s="691"/>
      <c r="GBY4752" s="689"/>
      <c r="GBZ4752" s="691"/>
      <c r="GCA4752" s="689"/>
      <c r="GCB4752" s="691"/>
      <c r="GCC4752" s="689"/>
      <c r="GCD4752" s="691"/>
      <c r="GCE4752" s="689"/>
      <c r="GCF4752" s="691"/>
      <c r="GCG4752" s="689"/>
      <c r="GCH4752" s="691"/>
      <c r="GCI4752" s="689"/>
      <c r="GCJ4752" s="691"/>
      <c r="GCK4752" s="689"/>
      <c r="GCL4752" s="691"/>
      <c r="GCM4752" s="689"/>
      <c r="GCN4752" s="691"/>
      <c r="GCO4752" s="689"/>
      <c r="GCP4752" s="691"/>
      <c r="GCQ4752" s="689"/>
      <c r="GCR4752" s="691"/>
      <c r="GCS4752" s="689"/>
      <c r="GCT4752" s="691"/>
      <c r="GCU4752" s="689"/>
      <c r="GCV4752" s="691"/>
      <c r="GCW4752" s="689"/>
      <c r="GCX4752" s="691"/>
      <c r="GCY4752" s="689"/>
      <c r="GCZ4752" s="691"/>
      <c r="GDA4752" s="689"/>
      <c r="GDB4752" s="691"/>
      <c r="GDC4752" s="689"/>
      <c r="GDD4752" s="691"/>
      <c r="GDE4752" s="689"/>
      <c r="GDF4752" s="691"/>
      <c r="GDG4752" s="689"/>
      <c r="GDH4752" s="691"/>
      <c r="GDI4752" s="689"/>
      <c r="GDJ4752" s="691"/>
      <c r="GDK4752" s="689"/>
      <c r="GDL4752" s="691"/>
      <c r="GDM4752" s="689"/>
      <c r="GDN4752" s="691"/>
      <c r="GDO4752" s="689"/>
      <c r="GDP4752" s="691"/>
      <c r="GDQ4752" s="689"/>
      <c r="GDR4752" s="691"/>
      <c r="GDS4752" s="689"/>
      <c r="GDT4752" s="691"/>
      <c r="GDU4752" s="689"/>
      <c r="GDV4752" s="691"/>
      <c r="GDW4752" s="689"/>
      <c r="GDX4752" s="691"/>
      <c r="GDY4752" s="689"/>
      <c r="GDZ4752" s="691"/>
      <c r="GEA4752" s="689"/>
      <c r="GEB4752" s="691"/>
      <c r="GEC4752" s="689"/>
      <c r="GED4752" s="691"/>
      <c r="GEE4752" s="689"/>
      <c r="GEF4752" s="691"/>
      <c r="GEG4752" s="689"/>
      <c r="GEH4752" s="691"/>
      <c r="GEI4752" s="689"/>
      <c r="GEJ4752" s="691"/>
      <c r="GEK4752" s="689"/>
      <c r="GEL4752" s="691"/>
      <c r="GEM4752" s="689"/>
      <c r="GEN4752" s="691"/>
      <c r="GEO4752" s="689"/>
      <c r="GEP4752" s="691"/>
      <c r="GEQ4752" s="689"/>
      <c r="GER4752" s="691"/>
      <c r="GES4752" s="689"/>
      <c r="GET4752" s="691"/>
      <c r="GEU4752" s="689"/>
      <c r="GEV4752" s="691"/>
      <c r="GEW4752" s="689"/>
      <c r="GEX4752" s="691"/>
      <c r="GEY4752" s="689"/>
      <c r="GEZ4752" s="691"/>
      <c r="GFA4752" s="689"/>
      <c r="GFB4752" s="691"/>
      <c r="GFC4752" s="689"/>
      <c r="GFD4752" s="691"/>
      <c r="GFE4752" s="689"/>
      <c r="GFF4752" s="691"/>
      <c r="GFG4752" s="689"/>
      <c r="GFH4752" s="691"/>
      <c r="GFI4752" s="689"/>
      <c r="GFJ4752" s="691"/>
      <c r="GFK4752" s="689"/>
      <c r="GFL4752" s="691"/>
      <c r="GFM4752" s="689"/>
      <c r="GFN4752" s="691"/>
      <c r="GFO4752" s="689"/>
      <c r="GFP4752" s="691"/>
      <c r="GFQ4752" s="689"/>
      <c r="GFR4752" s="691"/>
      <c r="GFS4752" s="689"/>
      <c r="GFT4752" s="691"/>
      <c r="GFU4752" s="689"/>
      <c r="GFV4752" s="691"/>
      <c r="GFW4752" s="689"/>
      <c r="GFX4752" s="691"/>
      <c r="GFY4752" s="689"/>
      <c r="GFZ4752" s="691"/>
      <c r="GGA4752" s="689"/>
      <c r="GGB4752" s="691"/>
      <c r="GGC4752" s="689"/>
      <c r="GGD4752" s="691"/>
      <c r="GGE4752" s="689"/>
      <c r="GGF4752" s="691"/>
      <c r="GGG4752" s="689"/>
      <c r="GGH4752" s="691"/>
      <c r="GGI4752" s="689"/>
      <c r="GGJ4752" s="691"/>
      <c r="GGK4752" s="689"/>
      <c r="GGL4752" s="691"/>
      <c r="GGM4752" s="689"/>
      <c r="GGN4752" s="691"/>
      <c r="GGO4752" s="689"/>
      <c r="GGP4752" s="691"/>
      <c r="GGQ4752" s="689"/>
      <c r="GGR4752" s="691"/>
      <c r="GGS4752" s="689"/>
      <c r="GGT4752" s="691"/>
      <c r="GGU4752" s="689"/>
      <c r="GGV4752" s="691"/>
      <c r="GGW4752" s="689"/>
      <c r="GGX4752" s="691"/>
      <c r="GGY4752" s="689"/>
      <c r="GGZ4752" s="691"/>
      <c r="GHA4752" s="689"/>
      <c r="GHB4752" s="691"/>
      <c r="GHC4752" s="689"/>
      <c r="GHD4752" s="691"/>
      <c r="GHE4752" s="689"/>
      <c r="GHF4752" s="691"/>
      <c r="GHG4752" s="689"/>
      <c r="GHH4752" s="691"/>
      <c r="GHI4752" s="689"/>
      <c r="GHJ4752" s="691"/>
      <c r="GHK4752" s="689"/>
      <c r="GHL4752" s="691"/>
      <c r="GHM4752" s="689"/>
      <c r="GHN4752" s="691"/>
      <c r="GHO4752" s="689"/>
      <c r="GHP4752" s="691"/>
      <c r="GHQ4752" s="689"/>
      <c r="GHR4752" s="691"/>
      <c r="GHS4752" s="689"/>
      <c r="GHT4752" s="691"/>
      <c r="GHU4752" s="689"/>
      <c r="GHV4752" s="691"/>
      <c r="GHW4752" s="689"/>
      <c r="GHX4752" s="691"/>
      <c r="GHY4752" s="689"/>
      <c r="GHZ4752" s="691"/>
      <c r="GIA4752" s="689"/>
      <c r="GIB4752" s="691"/>
      <c r="GIC4752" s="689"/>
      <c r="GID4752" s="691"/>
      <c r="GIE4752" s="689"/>
      <c r="GIF4752" s="691"/>
      <c r="GIG4752" s="689"/>
      <c r="GIH4752" s="691"/>
      <c r="GII4752" s="689"/>
      <c r="GIJ4752" s="691"/>
      <c r="GIK4752" s="689"/>
      <c r="GIL4752" s="691"/>
      <c r="GIM4752" s="689"/>
      <c r="GIN4752" s="691"/>
      <c r="GIO4752" s="689"/>
      <c r="GIP4752" s="691"/>
      <c r="GIQ4752" s="689"/>
      <c r="GIR4752" s="691"/>
      <c r="GIS4752" s="689"/>
      <c r="GIT4752" s="691"/>
      <c r="GIU4752" s="689"/>
      <c r="GIV4752" s="691"/>
      <c r="GIW4752" s="689"/>
      <c r="GIX4752" s="691"/>
      <c r="GIY4752" s="689"/>
      <c r="GIZ4752" s="691"/>
      <c r="GJA4752" s="689"/>
      <c r="GJB4752" s="691"/>
      <c r="GJC4752" s="689"/>
      <c r="GJD4752" s="691"/>
      <c r="GJE4752" s="689"/>
      <c r="GJF4752" s="691"/>
      <c r="GJG4752" s="689"/>
      <c r="GJH4752" s="691"/>
      <c r="GJI4752" s="689"/>
      <c r="GJJ4752" s="691"/>
      <c r="GJK4752" s="689"/>
      <c r="GJL4752" s="691"/>
      <c r="GJM4752" s="689"/>
      <c r="GJN4752" s="691"/>
      <c r="GJO4752" s="689"/>
      <c r="GJP4752" s="691"/>
      <c r="GJQ4752" s="689"/>
      <c r="GJR4752" s="691"/>
      <c r="GJS4752" s="689"/>
      <c r="GJT4752" s="691"/>
      <c r="GJU4752" s="689"/>
      <c r="GJV4752" s="691"/>
      <c r="GJW4752" s="689"/>
      <c r="GJX4752" s="691"/>
      <c r="GJY4752" s="689"/>
      <c r="GJZ4752" s="691"/>
      <c r="GKA4752" s="689"/>
      <c r="GKB4752" s="691"/>
      <c r="GKC4752" s="689"/>
      <c r="GKD4752" s="691"/>
      <c r="GKE4752" s="689"/>
      <c r="GKF4752" s="691"/>
      <c r="GKG4752" s="689"/>
      <c r="GKH4752" s="691"/>
      <c r="GKI4752" s="689"/>
      <c r="GKJ4752" s="691"/>
      <c r="GKK4752" s="689"/>
      <c r="GKL4752" s="691"/>
      <c r="GKM4752" s="689"/>
      <c r="GKN4752" s="691"/>
      <c r="GKO4752" s="689"/>
      <c r="GKP4752" s="691"/>
      <c r="GKQ4752" s="689"/>
      <c r="GKR4752" s="691"/>
      <c r="GKS4752" s="689"/>
      <c r="GKT4752" s="691"/>
      <c r="GKU4752" s="689"/>
      <c r="GKV4752" s="691"/>
      <c r="GKW4752" s="689"/>
      <c r="GKX4752" s="691"/>
      <c r="GKY4752" s="689"/>
      <c r="GKZ4752" s="691"/>
      <c r="GLA4752" s="689"/>
      <c r="GLB4752" s="691"/>
      <c r="GLC4752" s="689"/>
      <c r="GLD4752" s="691"/>
      <c r="GLE4752" s="689"/>
      <c r="GLF4752" s="691"/>
      <c r="GLG4752" s="689"/>
      <c r="GLH4752" s="691"/>
      <c r="GLI4752" s="689"/>
      <c r="GLJ4752" s="691"/>
      <c r="GLK4752" s="689"/>
      <c r="GLL4752" s="691"/>
      <c r="GLM4752" s="689"/>
      <c r="GLN4752" s="691"/>
      <c r="GLO4752" s="689"/>
      <c r="GLP4752" s="691"/>
      <c r="GLQ4752" s="689"/>
      <c r="GLR4752" s="691"/>
      <c r="GLS4752" s="689"/>
      <c r="GLT4752" s="691"/>
      <c r="GLU4752" s="689"/>
      <c r="GLV4752" s="691"/>
      <c r="GLW4752" s="689"/>
      <c r="GLX4752" s="691"/>
      <c r="GLY4752" s="689"/>
      <c r="GLZ4752" s="691"/>
      <c r="GMA4752" s="689"/>
      <c r="GMB4752" s="691"/>
      <c r="GMC4752" s="689"/>
      <c r="GMD4752" s="691"/>
      <c r="GME4752" s="689"/>
      <c r="GMF4752" s="691"/>
      <c r="GMG4752" s="689"/>
      <c r="GMH4752" s="691"/>
      <c r="GMI4752" s="689"/>
      <c r="GMJ4752" s="691"/>
      <c r="GMK4752" s="689"/>
      <c r="GML4752" s="691"/>
      <c r="GMM4752" s="689"/>
      <c r="GMN4752" s="691"/>
      <c r="GMO4752" s="689"/>
      <c r="GMP4752" s="691"/>
      <c r="GMQ4752" s="689"/>
      <c r="GMR4752" s="691"/>
      <c r="GMS4752" s="689"/>
      <c r="GMT4752" s="691"/>
      <c r="GMU4752" s="689"/>
      <c r="GMV4752" s="691"/>
      <c r="GMW4752" s="689"/>
      <c r="GMX4752" s="691"/>
      <c r="GMY4752" s="689"/>
      <c r="GMZ4752" s="691"/>
      <c r="GNA4752" s="689"/>
      <c r="GNB4752" s="691"/>
      <c r="GNC4752" s="689"/>
      <c r="GND4752" s="691"/>
      <c r="GNE4752" s="689"/>
      <c r="GNF4752" s="691"/>
      <c r="GNG4752" s="689"/>
      <c r="GNH4752" s="691"/>
      <c r="GNI4752" s="689"/>
      <c r="GNJ4752" s="691"/>
      <c r="GNK4752" s="689"/>
      <c r="GNL4752" s="691"/>
      <c r="GNM4752" s="689"/>
      <c r="GNN4752" s="691"/>
      <c r="GNO4752" s="689"/>
      <c r="GNP4752" s="691"/>
      <c r="GNQ4752" s="689"/>
      <c r="GNR4752" s="691"/>
      <c r="GNS4752" s="689"/>
      <c r="GNT4752" s="691"/>
      <c r="GNU4752" s="689"/>
      <c r="GNV4752" s="691"/>
      <c r="GNW4752" s="689"/>
      <c r="GNX4752" s="691"/>
      <c r="GNY4752" s="689"/>
      <c r="GNZ4752" s="691"/>
      <c r="GOA4752" s="689"/>
      <c r="GOB4752" s="691"/>
      <c r="GOC4752" s="689"/>
      <c r="GOD4752" s="691"/>
      <c r="GOE4752" s="689"/>
      <c r="GOF4752" s="691"/>
      <c r="GOG4752" s="689"/>
      <c r="GOH4752" s="691"/>
      <c r="GOI4752" s="689"/>
      <c r="GOJ4752" s="691"/>
      <c r="GOK4752" s="689"/>
      <c r="GOL4752" s="691"/>
      <c r="GOM4752" s="689"/>
      <c r="GON4752" s="691"/>
      <c r="GOO4752" s="689"/>
      <c r="GOP4752" s="691"/>
      <c r="GOQ4752" s="689"/>
      <c r="GOR4752" s="691"/>
      <c r="GOS4752" s="689"/>
      <c r="GOT4752" s="691"/>
      <c r="GOU4752" s="689"/>
      <c r="GOV4752" s="691"/>
      <c r="GOW4752" s="689"/>
      <c r="GOX4752" s="691"/>
      <c r="GOY4752" s="689"/>
      <c r="GOZ4752" s="691"/>
      <c r="GPA4752" s="689"/>
      <c r="GPB4752" s="691"/>
      <c r="GPC4752" s="689"/>
      <c r="GPD4752" s="691"/>
      <c r="GPE4752" s="689"/>
      <c r="GPF4752" s="691"/>
      <c r="GPG4752" s="689"/>
      <c r="GPH4752" s="691"/>
      <c r="GPI4752" s="689"/>
      <c r="GPJ4752" s="691"/>
      <c r="GPK4752" s="689"/>
      <c r="GPL4752" s="691"/>
      <c r="GPM4752" s="689"/>
      <c r="GPN4752" s="691"/>
      <c r="GPO4752" s="689"/>
      <c r="GPP4752" s="691"/>
      <c r="GPQ4752" s="689"/>
      <c r="GPR4752" s="691"/>
      <c r="GPS4752" s="689"/>
      <c r="GPT4752" s="691"/>
      <c r="GPU4752" s="689"/>
      <c r="GPV4752" s="691"/>
      <c r="GPW4752" s="689"/>
      <c r="GPX4752" s="691"/>
      <c r="GPY4752" s="689"/>
      <c r="GPZ4752" s="691"/>
      <c r="GQA4752" s="689"/>
      <c r="GQB4752" s="691"/>
      <c r="GQC4752" s="689"/>
      <c r="GQD4752" s="691"/>
      <c r="GQE4752" s="689"/>
      <c r="GQF4752" s="691"/>
      <c r="GQG4752" s="689"/>
      <c r="GQH4752" s="691"/>
      <c r="GQI4752" s="689"/>
      <c r="GQJ4752" s="691"/>
      <c r="GQK4752" s="689"/>
      <c r="GQL4752" s="691"/>
      <c r="GQM4752" s="689"/>
      <c r="GQN4752" s="691"/>
      <c r="GQO4752" s="689"/>
      <c r="GQP4752" s="691"/>
      <c r="GQQ4752" s="689"/>
      <c r="GQR4752" s="691"/>
      <c r="GQS4752" s="689"/>
      <c r="GQT4752" s="691"/>
      <c r="GQU4752" s="689"/>
      <c r="GQV4752" s="691"/>
      <c r="GQW4752" s="689"/>
      <c r="GQX4752" s="691"/>
      <c r="GQY4752" s="689"/>
      <c r="GQZ4752" s="691"/>
      <c r="GRA4752" s="689"/>
      <c r="GRB4752" s="691"/>
      <c r="GRC4752" s="689"/>
      <c r="GRD4752" s="691"/>
      <c r="GRE4752" s="689"/>
      <c r="GRF4752" s="691"/>
      <c r="GRG4752" s="689"/>
      <c r="GRH4752" s="691"/>
      <c r="GRI4752" s="689"/>
      <c r="GRJ4752" s="691"/>
      <c r="GRK4752" s="689"/>
      <c r="GRL4752" s="691"/>
      <c r="GRM4752" s="689"/>
      <c r="GRN4752" s="691"/>
      <c r="GRO4752" s="689"/>
      <c r="GRP4752" s="691"/>
      <c r="GRQ4752" s="689"/>
      <c r="GRR4752" s="691"/>
      <c r="GRS4752" s="689"/>
      <c r="GRT4752" s="691"/>
      <c r="GRU4752" s="689"/>
      <c r="GRV4752" s="691"/>
      <c r="GRW4752" s="689"/>
      <c r="GRX4752" s="691"/>
      <c r="GRY4752" s="689"/>
      <c r="GRZ4752" s="691"/>
      <c r="GSA4752" s="689"/>
      <c r="GSB4752" s="691"/>
      <c r="GSC4752" s="689"/>
      <c r="GSD4752" s="691"/>
      <c r="GSE4752" s="689"/>
      <c r="GSF4752" s="691"/>
      <c r="GSG4752" s="689"/>
      <c r="GSH4752" s="691"/>
      <c r="GSI4752" s="689"/>
      <c r="GSJ4752" s="691"/>
      <c r="GSK4752" s="689"/>
      <c r="GSL4752" s="691"/>
      <c r="GSM4752" s="689"/>
      <c r="GSN4752" s="691"/>
      <c r="GSO4752" s="689"/>
      <c r="GSP4752" s="691"/>
      <c r="GSQ4752" s="689"/>
      <c r="GSR4752" s="691"/>
      <c r="GSS4752" s="689"/>
      <c r="GST4752" s="691"/>
      <c r="GSU4752" s="689"/>
      <c r="GSV4752" s="691"/>
      <c r="GSW4752" s="689"/>
      <c r="GSX4752" s="691"/>
      <c r="GSY4752" s="689"/>
      <c r="GSZ4752" s="691"/>
      <c r="GTA4752" s="689"/>
      <c r="GTB4752" s="691"/>
      <c r="GTC4752" s="689"/>
      <c r="GTD4752" s="691"/>
      <c r="GTE4752" s="689"/>
      <c r="GTF4752" s="691"/>
      <c r="GTG4752" s="689"/>
      <c r="GTH4752" s="691"/>
      <c r="GTI4752" s="689"/>
      <c r="GTJ4752" s="691"/>
      <c r="GTK4752" s="689"/>
      <c r="GTL4752" s="691"/>
      <c r="GTM4752" s="689"/>
      <c r="GTN4752" s="691"/>
      <c r="GTO4752" s="689"/>
      <c r="GTP4752" s="691"/>
      <c r="GTQ4752" s="689"/>
      <c r="GTR4752" s="691"/>
      <c r="GTS4752" s="689"/>
      <c r="GTT4752" s="691"/>
      <c r="GTU4752" s="689"/>
      <c r="GTV4752" s="691"/>
      <c r="GTW4752" s="689"/>
      <c r="GTX4752" s="691"/>
      <c r="GTY4752" s="689"/>
      <c r="GTZ4752" s="691"/>
      <c r="GUA4752" s="689"/>
      <c r="GUB4752" s="691"/>
      <c r="GUC4752" s="689"/>
      <c r="GUD4752" s="691"/>
      <c r="GUE4752" s="689"/>
      <c r="GUF4752" s="691"/>
      <c r="GUG4752" s="689"/>
      <c r="GUH4752" s="691"/>
      <c r="GUI4752" s="689"/>
      <c r="GUJ4752" s="691"/>
      <c r="GUK4752" s="689"/>
      <c r="GUL4752" s="691"/>
      <c r="GUM4752" s="689"/>
      <c r="GUN4752" s="691"/>
      <c r="GUO4752" s="689"/>
      <c r="GUP4752" s="691"/>
      <c r="GUQ4752" s="689"/>
      <c r="GUR4752" s="691"/>
      <c r="GUS4752" s="689"/>
      <c r="GUT4752" s="691"/>
      <c r="GUU4752" s="689"/>
      <c r="GUV4752" s="691"/>
      <c r="GUW4752" s="689"/>
      <c r="GUX4752" s="691"/>
      <c r="GUY4752" s="689"/>
      <c r="GUZ4752" s="691"/>
      <c r="GVA4752" s="689"/>
      <c r="GVB4752" s="691"/>
      <c r="GVC4752" s="689"/>
      <c r="GVD4752" s="691"/>
      <c r="GVE4752" s="689"/>
      <c r="GVF4752" s="691"/>
      <c r="GVG4752" s="689"/>
      <c r="GVH4752" s="691"/>
      <c r="GVI4752" s="689"/>
      <c r="GVJ4752" s="691"/>
      <c r="GVK4752" s="689"/>
      <c r="GVL4752" s="691"/>
      <c r="GVM4752" s="689"/>
      <c r="GVN4752" s="691"/>
      <c r="GVO4752" s="689"/>
      <c r="GVP4752" s="691"/>
      <c r="GVQ4752" s="689"/>
      <c r="GVR4752" s="691"/>
      <c r="GVS4752" s="689"/>
      <c r="GVT4752" s="691"/>
      <c r="GVU4752" s="689"/>
      <c r="GVV4752" s="691"/>
      <c r="GVW4752" s="689"/>
      <c r="GVX4752" s="691"/>
      <c r="GVY4752" s="689"/>
      <c r="GVZ4752" s="691"/>
      <c r="GWA4752" s="689"/>
      <c r="GWB4752" s="691"/>
      <c r="GWC4752" s="689"/>
      <c r="GWD4752" s="691"/>
      <c r="GWE4752" s="689"/>
      <c r="GWF4752" s="691"/>
      <c r="GWG4752" s="689"/>
      <c r="GWH4752" s="691"/>
      <c r="GWI4752" s="689"/>
      <c r="GWJ4752" s="691"/>
      <c r="GWK4752" s="689"/>
      <c r="GWL4752" s="691"/>
      <c r="GWM4752" s="689"/>
      <c r="GWN4752" s="691"/>
      <c r="GWO4752" s="689"/>
      <c r="GWP4752" s="691"/>
      <c r="GWQ4752" s="689"/>
      <c r="GWR4752" s="691"/>
      <c r="GWS4752" s="689"/>
      <c r="GWT4752" s="691"/>
      <c r="GWU4752" s="689"/>
      <c r="GWV4752" s="691"/>
      <c r="GWW4752" s="689"/>
      <c r="GWX4752" s="691"/>
      <c r="GWY4752" s="689"/>
      <c r="GWZ4752" s="691"/>
      <c r="GXA4752" s="689"/>
      <c r="GXB4752" s="691"/>
      <c r="GXC4752" s="689"/>
      <c r="GXD4752" s="691"/>
      <c r="GXE4752" s="689"/>
      <c r="GXF4752" s="691"/>
      <c r="GXG4752" s="689"/>
      <c r="GXH4752" s="691"/>
      <c r="GXI4752" s="689"/>
      <c r="GXJ4752" s="691"/>
      <c r="GXK4752" s="689"/>
      <c r="GXL4752" s="691"/>
      <c r="GXM4752" s="689"/>
      <c r="GXN4752" s="691"/>
      <c r="GXO4752" s="689"/>
      <c r="GXP4752" s="691"/>
      <c r="GXQ4752" s="689"/>
      <c r="GXR4752" s="691"/>
      <c r="GXS4752" s="689"/>
      <c r="GXT4752" s="691"/>
      <c r="GXU4752" s="689"/>
      <c r="GXV4752" s="691"/>
      <c r="GXW4752" s="689"/>
      <c r="GXX4752" s="691"/>
      <c r="GXY4752" s="689"/>
      <c r="GXZ4752" s="691"/>
      <c r="GYA4752" s="689"/>
      <c r="GYB4752" s="691"/>
      <c r="GYC4752" s="689"/>
      <c r="GYD4752" s="691"/>
      <c r="GYE4752" s="689"/>
      <c r="GYF4752" s="691"/>
      <c r="GYG4752" s="689"/>
      <c r="GYH4752" s="691"/>
      <c r="GYI4752" s="689"/>
      <c r="GYJ4752" s="691"/>
      <c r="GYK4752" s="689"/>
      <c r="GYL4752" s="691"/>
      <c r="GYM4752" s="689"/>
      <c r="GYN4752" s="691"/>
      <c r="GYO4752" s="689"/>
      <c r="GYP4752" s="691"/>
      <c r="GYQ4752" s="689"/>
      <c r="GYR4752" s="691"/>
      <c r="GYS4752" s="689"/>
      <c r="GYT4752" s="691"/>
      <c r="GYU4752" s="689"/>
      <c r="GYV4752" s="691"/>
      <c r="GYW4752" s="689"/>
      <c r="GYX4752" s="691"/>
      <c r="GYY4752" s="689"/>
      <c r="GYZ4752" s="691"/>
      <c r="GZA4752" s="689"/>
      <c r="GZB4752" s="691"/>
      <c r="GZC4752" s="689"/>
      <c r="GZD4752" s="691"/>
      <c r="GZE4752" s="689"/>
      <c r="GZF4752" s="691"/>
      <c r="GZG4752" s="689"/>
      <c r="GZH4752" s="691"/>
      <c r="GZI4752" s="689"/>
      <c r="GZJ4752" s="691"/>
      <c r="GZK4752" s="689"/>
      <c r="GZL4752" s="691"/>
      <c r="GZM4752" s="689"/>
      <c r="GZN4752" s="691"/>
      <c r="GZO4752" s="689"/>
      <c r="GZP4752" s="691"/>
      <c r="GZQ4752" s="689"/>
      <c r="GZR4752" s="691"/>
      <c r="GZS4752" s="689"/>
      <c r="GZT4752" s="691"/>
      <c r="GZU4752" s="689"/>
      <c r="GZV4752" s="691"/>
      <c r="GZW4752" s="689"/>
      <c r="GZX4752" s="691"/>
      <c r="GZY4752" s="689"/>
      <c r="GZZ4752" s="691"/>
      <c r="HAA4752" s="689"/>
      <c r="HAB4752" s="691"/>
      <c r="HAC4752" s="689"/>
      <c r="HAD4752" s="691"/>
      <c r="HAE4752" s="689"/>
      <c r="HAF4752" s="691"/>
      <c r="HAG4752" s="689"/>
      <c r="HAH4752" s="691"/>
      <c r="HAI4752" s="689"/>
      <c r="HAJ4752" s="691"/>
      <c r="HAK4752" s="689"/>
      <c r="HAL4752" s="691"/>
      <c r="HAM4752" s="689"/>
      <c r="HAN4752" s="691"/>
      <c r="HAO4752" s="689"/>
      <c r="HAP4752" s="691"/>
      <c r="HAQ4752" s="689"/>
      <c r="HAR4752" s="691"/>
      <c r="HAS4752" s="689"/>
      <c r="HAT4752" s="691"/>
      <c r="HAU4752" s="689"/>
      <c r="HAV4752" s="691"/>
      <c r="HAW4752" s="689"/>
      <c r="HAX4752" s="691"/>
      <c r="HAY4752" s="689"/>
      <c r="HAZ4752" s="691"/>
      <c r="HBA4752" s="689"/>
      <c r="HBB4752" s="691"/>
      <c r="HBC4752" s="689"/>
      <c r="HBD4752" s="691"/>
      <c r="HBE4752" s="689"/>
      <c r="HBF4752" s="691"/>
      <c r="HBG4752" s="689"/>
      <c r="HBH4752" s="691"/>
      <c r="HBI4752" s="689"/>
      <c r="HBJ4752" s="691"/>
      <c r="HBK4752" s="689"/>
      <c r="HBL4752" s="691"/>
      <c r="HBM4752" s="689"/>
      <c r="HBN4752" s="691"/>
      <c r="HBO4752" s="689"/>
      <c r="HBP4752" s="691"/>
      <c r="HBQ4752" s="689"/>
      <c r="HBR4752" s="691"/>
      <c r="HBS4752" s="689"/>
      <c r="HBT4752" s="691"/>
      <c r="HBU4752" s="689"/>
      <c r="HBV4752" s="691"/>
      <c r="HBW4752" s="689"/>
      <c r="HBX4752" s="691"/>
      <c r="HBY4752" s="689"/>
      <c r="HBZ4752" s="691"/>
      <c r="HCA4752" s="689"/>
      <c r="HCB4752" s="691"/>
      <c r="HCC4752" s="689"/>
      <c r="HCD4752" s="691"/>
      <c r="HCE4752" s="689"/>
      <c r="HCF4752" s="691"/>
      <c r="HCG4752" s="689"/>
      <c r="HCH4752" s="691"/>
      <c r="HCI4752" s="689"/>
      <c r="HCJ4752" s="691"/>
      <c r="HCK4752" s="689"/>
      <c r="HCL4752" s="691"/>
      <c r="HCM4752" s="689"/>
      <c r="HCN4752" s="691"/>
      <c r="HCO4752" s="689"/>
      <c r="HCP4752" s="691"/>
      <c r="HCQ4752" s="689"/>
      <c r="HCR4752" s="691"/>
      <c r="HCS4752" s="689"/>
      <c r="HCT4752" s="691"/>
      <c r="HCU4752" s="689"/>
      <c r="HCV4752" s="691"/>
      <c r="HCW4752" s="689"/>
      <c r="HCX4752" s="691"/>
      <c r="HCY4752" s="689"/>
      <c r="HCZ4752" s="691"/>
      <c r="HDA4752" s="689"/>
      <c r="HDB4752" s="691"/>
      <c r="HDC4752" s="689"/>
      <c r="HDD4752" s="691"/>
      <c r="HDE4752" s="689"/>
      <c r="HDF4752" s="691"/>
      <c r="HDG4752" s="689"/>
      <c r="HDH4752" s="691"/>
      <c r="HDI4752" s="689"/>
      <c r="HDJ4752" s="691"/>
      <c r="HDK4752" s="689"/>
      <c r="HDL4752" s="691"/>
      <c r="HDM4752" s="689"/>
      <c r="HDN4752" s="691"/>
      <c r="HDO4752" s="689"/>
      <c r="HDP4752" s="691"/>
      <c r="HDQ4752" s="689"/>
      <c r="HDR4752" s="691"/>
      <c r="HDS4752" s="689"/>
      <c r="HDT4752" s="691"/>
      <c r="HDU4752" s="689"/>
      <c r="HDV4752" s="691"/>
      <c r="HDW4752" s="689"/>
      <c r="HDX4752" s="691"/>
      <c r="HDY4752" s="689"/>
      <c r="HDZ4752" s="691"/>
      <c r="HEA4752" s="689"/>
      <c r="HEB4752" s="691"/>
      <c r="HEC4752" s="689"/>
      <c r="HED4752" s="691"/>
      <c r="HEE4752" s="689"/>
      <c r="HEF4752" s="691"/>
      <c r="HEG4752" s="689"/>
      <c r="HEH4752" s="691"/>
      <c r="HEI4752" s="689"/>
      <c r="HEJ4752" s="691"/>
      <c r="HEK4752" s="689"/>
      <c r="HEL4752" s="691"/>
      <c r="HEM4752" s="689"/>
      <c r="HEN4752" s="691"/>
      <c r="HEO4752" s="689"/>
      <c r="HEP4752" s="691"/>
      <c r="HEQ4752" s="689"/>
      <c r="HER4752" s="691"/>
      <c r="HES4752" s="689"/>
      <c r="HET4752" s="691"/>
      <c r="HEU4752" s="689"/>
      <c r="HEV4752" s="691"/>
      <c r="HEW4752" s="689"/>
      <c r="HEX4752" s="691"/>
      <c r="HEY4752" s="689"/>
      <c r="HEZ4752" s="691"/>
      <c r="HFA4752" s="689"/>
      <c r="HFB4752" s="691"/>
      <c r="HFC4752" s="689"/>
      <c r="HFD4752" s="691"/>
      <c r="HFE4752" s="689"/>
      <c r="HFF4752" s="691"/>
      <c r="HFG4752" s="689"/>
      <c r="HFH4752" s="691"/>
      <c r="HFI4752" s="689"/>
      <c r="HFJ4752" s="691"/>
      <c r="HFK4752" s="689"/>
      <c r="HFL4752" s="691"/>
      <c r="HFM4752" s="689"/>
      <c r="HFN4752" s="691"/>
      <c r="HFO4752" s="689"/>
      <c r="HFP4752" s="691"/>
      <c r="HFQ4752" s="689"/>
      <c r="HFR4752" s="691"/>
      <c r="HFS4752" s="689"/>
      <c r="HFT4752" s="691"/>
      <c r="HFU4752" s="689"/>
      <c r="HFV4752" s="691"/>
      <c r="HFW4752" s="689"/>
      <c r="HFX4752" s="691"/>
      <c r="HFY4752" s="689"/>
      <c r="HFZ4752" s="691"/>
      <c r="HGA4752" s="689"/>
      <c r="HGB4752" s="691"/>
      <c r="HGC4752" s="689"/>
      <c r="HGD4752" s="691"/>
      <c r="HGE4752" s="689"/>
      <c r="HGF4752" s="691"/>
      <c r="HGG4752" s="689"/>
      <c r="HGH4752" s="691"/>
      <c r="HGI4752" s="689"/>
      <c r="HGJ4752" s="691"/>
      <c r="HGK4752" s="689"/>
      <c r="HGL4752" s="691"/>
      <c r="HGM4752" s="689"/>
      <c r="HGN4752" s="691"/>
      <c r="HGO4752" s="689"/>
      <c r="HGP4752" s="691"/>
      <c r="HGQ4752" s="689"/>
      <c r="HGR4752" s="691"/>
      <c r="HGS4752" s="689"/>
      <c r="HGT4752" s="691"/>
      <c r="HGU4752" s="689"/>
      <c r="HGV4752" s="691"/>
      <c r="HGW4752" s="689"/>
      <c r="HGX4752" s="691"/>
      <c r="HGY4752" s="689"/>
      <c r="HGZ4752" s="691"/>
      <c r="HHA4752" s="689"/>
      <c r="HHB4752" s="691"/>
      <c r="HHC4752" s="689"/>
      <c r="HHD4752" s="691"/>
      <c r="HHE4752" s="689"/>
      <c r="HHF4752" s="691"/>
      <c r="HHG4752" s="689"/>
      <c r="HHH4752" s="691"/>
      <c r="HHI4752" s="689"/>
      <c r="HHJ4752" s="691"/>
      <c r="HHK4752" s="689"/>
      <c r="HHL4752" s="691"/>
      <c r="HHM4752" s="689"/>
      <c r="HHN4752" s="691"/>
      <c r="HHO4752" s="689"/>
      <c r="HHP4752" s="691"/>
      <c r="HHQ4752" s="689"/>
      <c r="HHR4752" s="691"/>
      <c r="HHS4752" s="689"/>
      <c r="HHT4752" s="691"/>
      <c r="HHU4752" s="689"/>
      <c r="HHV4752" s="691"/>
      <c r="HHW4752" s="689"/>
      <c r="HHX4752" s="691"/>
      <c r="HHY4752" s="689"/>
      <c r="HHZ4752" s="691"/>
      <c r="HIA4752" s="689"/>
      <c r="HIB4752" s="691"/>
      <c r="HIC4752" s="689"/>
      <c r="HID4752" s="691"/>
      <c r="HIE4752" s="689"/>
      <c r="HIF4752" s="691"/>
      <c r="HIG4752" s="689"/>
      <c r="HIH4752" s="691"/>
      <c r="HII4752" s="689"/>
      <c r="HIJ4752" s="691"/>
      <c r="HIK4752" s="689"/>
      <c r="HIL4752" s="691"/>
      <c r="HIM4752" s="689"/>
      <c r="HIN4752" s="691"/>
      <c r="HIO4752" s="689"/>
      <c r="HIP4752" s="691"/>
      <c r="HIQ4752" s="689"/>
      <c r="HIR4752" s="691"/>
      <c r="HIS4752" s="689"/>
      <c r="HIT4752" s="691"/>
      <c r="HIU4752" s="689"/>
      <c r="HIV4752" s="691"/>
      <c r="HIW4752" s="689"/>
      <c r="HIX4752" s="691"/>
      <c r="HIY4752" s="689"/>
      <c r="HIZ4752" s="691"/>
      <c r="HJA4752" s="689"/>
      <c r="HJB4752" s="691"/>
      <c r="HJC4752" s="689"/>
      <c r="HJD4752" s="691"/>
      <c r="HJE4752" s="689"/>
      <c r="HJF4752" s="691"/>
      <c r="HJG4752" s="689"/>
      <c r="HJH4752" s="691"/>
      <c r="HJI4752" s="689"/>
      <c r="HJJ4752" s="691"/>
      <c r="HJK4752" s="689"/>
      <c r="HJL4752" s="691"/>
      <c r="HJM4752" s="689"/>
      <c r="HJN4752" s="691"/>
      <c r="HJO4752" s="689"/>
      <c r="HJP4752" s="691"/>
      <c r="HJQ4752" s="689"/>
      <c r="HJR4752" s="691"/>
      <c r="HJS4752" s="689"/>
      <c r="HJT4752" s="691"/>
      <c r="HJU4752" s="689"/>
      <c r="HJV4752" s="691"/>
      <c r="HJW4752" s="689"/>
      <c r="HJX4752" s="691"/>
      <c r="HJY4752" s="689"/>
      <c r="HJZ4752" s="691"/>
      <c r="HKA4752" s="689"/>
      <c r="HKB4752" s="691"/>
      <c r="HKC4752" s="689"/>
      <c r="HKD4752" s="691"/>
      <c r="HKE4752" s="689"/>
      <c r="HKF4752" s="691"/>
      <c r="HKG4752" s="689"/>
      <c r="HKH4752" s="691"/>
      <c r="HKI4752" s="689"/>
      <c r="HKJ4752" s="691"/>
      <c r="HKK4752" s="689"/>
      <c r="HKL4752" s="691"/>
      <c r="HKM4752" s="689"/>
      <c r="HKN4752" s="691"/>
      <c r="HKO4752" s="689"/>
      <c r="HKP4752" s="691"/>
      <c r="HKQ4752" s="689"/>
      <c r="HKR4752" s="691"/>
      <c r="HKS4752" s="689"/>
      <c r="HKT4752" s="691"/>
      <c r="HKU4752" s="689"/>
      <c r="HKV4752" s="691"/>
      <c r="HKW4752" s="689"/>
      <c r="HKX4752" s="691"/>
      <c r="HKY4752" s="689"/>
      <c r="HKZ4752" s="691"/>
      <c r="HLA4752" s="689"/>
      <c r="HLB4752" s="691"/>
      <c r="HLC4752" s="689"/>
      <c r="HLD4752" s="691"/>
      <c r="HLE4752" s="689"/>
      <c r="HLF4752" s="691"/>
      <c r="HLG4752" s="689"/>
      <c r="HLH4752" s="691"/>
      <c r="HLI4752" s="689"/>
      <c r="HLJ4752" s="691"/>
      <c r="HLK4752" s="689"/>
      <c r="HLL4752" s="691"/>
      <c r="HLM4752" s="689"/>
      <c r="HLN4752" s="691"/>
      <c r="HLO4752" s="689"/>
      <c r="HLP4752" s="691"/>
      <c r="HLQ4752" s="689"/>
      <c r="HLR4752" s="691"/>
      <c r="HLS4752" s="689"/>
      <c r="HLT4752" s="691"/>
      <c r="HLU4752" s="689"/>
      <c r="HLV4752" s="691"/>
      <c r="HLW4752" s="689"/>
      <c r="HLX4752" s="691"/>
      <c r="HLY4752" s="689"/>
      <c r="HLZ4752" s="691"/>
      <c r="HMA4752" s="689"/>
      <c r="HMB4752" s="691"/>
      <c r="HMC4752" s="689"/>
      <c r="HMD4752" s="691"/>
      <c r="HME4752" s="689"/>
      <c r="HMF4752" s="691"/>
      <c r="HMG4752" s="689"/>
      <c r="HMH4752" s="691"/>
      <c r="HMI4752" s="689"/>
      <c r="HMJ4752" s="691"/>
      <c r="HMK4752" s="689"/>
      <c r="HML4752" s="691"/>
      <c r="HMM4752" s="689"/>
      <c r="HMN4752" s="691"/>
      <c r="HMO4752" s="689"/>
      <c r="HMP4752" s="691"/>
      <c r="HMQ4752" s="689"/>
      <c r="HMR4752" s="691"/>
      <c r="HMS4752" s="689"/>
      <c r="HMT4752" s="691"/>
      <c r="HMU4752" s="689"/>
      <c r="HMV4752" s="691"/>
      <c r="HMW4752" s="689"/>
      <c r="HMX4752" s="691"/>
      <c r="HMY4752" s="689"/>
      <c r="HMZ4752" s="691"/>
      <c r="HNA4752" s="689"/>
      <c r="HNB4752" s="691"/>
      <c r="HNC4752" s="689"/>
      <c r="HND4752" s="691"/>
      <c r="HNE4752" s="689"/>
      <c r="HNF4752" s="691"/>
      <c r="HNG4752" s="689"/>
      <c r="HNH4752" s="691"/>
      <c r="HNI4752" s="689"/>
      <c r="HNJ4752" s="691"/>
      <c r="HNK4752" s="689"/>
      <c r="HNL4752" s="691"/>
      <c r="HNM4752" s="689"/>
      <c r="HNN4752" s="691"/>
      <c r="HNO4752" s="689"/>
      <c r="HNP4752" s="691"/>
      <c r="HNQ4752" s="689"/>
      <c r="HNR4752" s="691"/>
      <c r="HNS4752" s="689"/>
      <c r="HNT4752" s="691"/>
      <c r="HNU4752" s="689"/>
      <c r="HNV4752" s="691"/>
      <c r="HNW4752" s="689"/>
      <c r="HNX4752" s="691"/>
      <c r="HNY4752" s="689"/>
      <c r="HNZ4752" s="691"/>
      <c r="HOA4752" s="689"/>
      <c r="HOB4752" s="691"/>
      <c r="HOC4752" s="689"/>
      <c r="HOD4752" s="691"/>
      <c r="HOE4752" s="689"/>
      <c r="HOF4752" s="691"/>
      <c r="HOG4752" s="689"/>
      <c r="HOH4752" s="691"/>
      <c r="HOI4752" s="689"/>
      <c r="HOJ4752" s="691"/>
      <c r="HOK4752" s="689"/>
      <c r="HOL4752" s="691"/>
      <c r="HOM4752" s="689"/>
      <c r="HON4752" s="691"/>
      <c r="HOO4752" s="689"/>
      <c r="HOP4752" s="691"/>
      <c r="HOQ4752" s="689"/>
      <c r="HOR4752" s="691"/>
      <c r="HOS4752" s="689"/>
      <c r="HOT4752" s="691"/>
      <c r="HOU4752" s="689"/>
      <c r="HOV4752" s="691"/>
      <c r="HOW4752" s="689"/>
      <c r="HOX4752" s="691"/>
      <c r="HOY4752" s="689"/>
      <c r="HOZ4752" s="691"/>
      <c r="HPA4752" s="689"/>
      <c r="HPB4752" s="691"/>
      <c r="HPC4752" s="689"/>
      <c r="HPD4752" s="691"/>
      <c r="HPE4752" s="689"/>
      <c r="HPF4752" s="691"/>
      <c r="HPG4752" s="689"/>
      <c r="HPH4752" s="691"/>
      <c r="HPI4752" s="689"/>
      <c r="HPJ4752" s="691"/>
      <c r="HPK4752" s="689"/>
      <c r="HPL4752" s="691"/>
      <c r="HPM4752" s="689"/>
      <c r="HPN4752" s="691"/>
      <c r="HPO4752" s="689"/>
      <c r="HPP4752" s="691"/>
      <c r="HPQ4752" s="689"/>
      <c r="HPR4752" s="691"/>
      <c r="HPS4752" s="689"/>
      <c r="HPT4752" s="691"/>
      <c r="HPU4752" s="689"/>
      <c r="HPV4752" s="691"/>
      <c r="HPW4752" s="689"/>
      <c r="HPX4752" s="691"/>
      <c r="HPY4752" s="689"/>
      <c r="HPZ4752" s="691"/>
      <c r="HQA4752" s="689"/>
      <c r="HQB4752" s="691"/>
      <c r="HQC4752" s="689"/>
      <c r="HQD4752" s="691"/>
      <c r="HQE4752" s="689"/>
      <c r="HQF4752" s="691"/>
      <c r="HQG4752" s="689"/>
      <c r="HQH4752" s="691"/>
      <c r="HQI4752" s="689"/>
      <c r="HQJ4752" s="691"/>
      <c r="HQK4752" s="689"/>
      <c r="HQL4752" s="691"/>
      <c r="HQM4752" s="689"/>
      <c r="HQN4752" s="691"/>
      <c r="HQO4752" s="689"/>
      <c r="HQP4752" s="691"/>
      <c r="HQQ4752" s="689"/>
      <c r="HQR4752" s="691"/>
      <c r="HQS4752" s="689"/>
      <c r="HQT4752" s="691"/>
      <c r="HQU4752" s="689"/>
      <c r="HQV4752" s="691"/>
      <c r="HQW4752" s="689"/>
      <c r="HQX4752" s="691"/>
      <c r="HQY4752" s="689"/>
      <c r="HQZ4752" s="691"/>
      <c r="HRA4752" s="689"/>
      <c r="HRB4752" s="691"/>
      <c r="HRC4752" s="689"/>
      <c r="HRD4752" s="691"/>
      <c r="HRE4752" s="689"/>
      <c r="HRF4752" s="691"/>
      <c r="HRG4752" s="689"/>
      <c r="HRH4752" s="691"/>
      <c r="HRI4752" s="689"/>
      <c r="HRJ4752" s="691"/>
      <c r="HRK4752" s="689"/>
      <c r="HRL4752" s="691"/>
      <c r="HRM4752" s="689"/>
      <c r="HRN4752" s="691"/>
      <c r="HRO4752" s="689"/>
      <c r="HRP4752" s="691"/>
      <c r="HRQ4752" s="689"/>
      <c r="HRR4752" s="691"/>
      <c r="HRS4752" s="689"/>
      <c r="HRT4752" s="691"/>
      <c r="HRU4752" s="689"/>
      <c r="HRV4752" s="691"/>
      <c r="HRW4752" s="689"/>
      <c r="HRX4752" s="691"/>
      <c r="HRY4752" s="689"/>
      <c r="HRZ4752" s="691"/>
      <c r="HSA4752" s="689"/>
      <c r="HSB4752" s="691"/>
      <c r="HSC4752" s="689"/>
      <c r="HSD4752" s="691"/>
      <c r="HSE4752" s="689"/>
      <c r="HSF4752" s="691"/>
      <c r="HSG4752" s="689"/>
      <c r="HSH4752" s="691"/>
      <c r="HSI4752" s="689"/>
      <c r="HSJ4752" s="691"/>
      <c r="HSK4752" s="689"/>
      <c r="HSL4752" s="691"/>
      <c r="HSM4752" s="689"/>
      <c r="HSN4752" s="691"/>
      <c r="HSO4752" s="689"/>
      <c r="HSP4752" s="691"/>
      <c r="HSQ4752" s="689"/>
      <c r="HSR4752" s="691"/>
      <c r="HSS4752" s="689"/>
      <c r="HST4752" s="691"/>
      <c r="HSU4752" s="689"/>
      <c r="HSV4752" s="691"/>
      <c r="HSW4752" s="689"/>
      <c r="HSX4752" s="691"/>
      <c r="HSY4752" s="689"/>
      <c r="HSZ4752" s="691"/>
      <c r="HTA4752" s="689"/>
      <c r="HTB4752" s="691"/>
      <c r="HTC4752" s="689"/>
      <c r="HTD4752" s="691"/>
      <c r="HTE4752" s="689"/>
      <c r="HTF4752" s="691"/>
      <c r="HTG4752" s="689"/>
      <c r="HTH4752" s="691"/>
      <c r="HTI4752" s="689"/>
      <c r="HTJ4752" s="691"/>
      <c r="HTK4752" s="689"/>
      <c r="HTL4752" s="691"/>
      <c r="HTM4752" s="689"/>
      <c r="HTN4752" s="691"/>
      <c r="HTO4752" s="689"/>
      <c r="HTP4752" s="691"/>
      <c r="HTQ4752" s="689"/>
      <c r="HTR4752" s="691"/>
      <c r="HTS4752" s="689"/>
      <c r="HTT4752" s="691"/>
      <c r="HTU4752" s="689"/>
      <c r="HTV4752" s="691"/>
      <c r="HTW4752" s="689"/>
      <c r="HTX4752" s="691"/>
      <c r="HTY4752" s="689"/>
      <c r="HTZ4752" s="691"/>
      <c r="HUA4752" s="689"/>
      <c r="HUB4752" s="691"/>
      <c r="HUC4752" s="689"/>
      <c r="HUD4752" s="691"/>
      <c r="HUE4752" s="689"/>
      <c r="HUF4752" s="691"/>
      <c r="HUG4752" s="689"/>
      <c r="HUH4752" s="691"/>
      <c r="HUI4752" s="689"/>
      <c r="HUJ4752" s="691"/>
      <c r="HUK4752" s="689"/>
      <c r="HUL4752" s="691"/>
      <c r="HUM4752" s="689"/>
      <c r="HUN4752" s="691"/>
      <c r="HUO4752" s="689"/>
      <c r="HUP4752" s="691"/>
      <c r="HUQ4752" s="689"/>
      <c r="HUR4752" s="691"/>
      <c r="HUS4752" s="689"/>
      <c r="HUT4752" s="691"/>
      <c r="HUU4752" s="689"/>
      <c r="HUV4752" s="691"/>
      <c r="HUW4752" s="689"/>
      <c r="HUX4752" s="691"/>
      <c r="HUY4752" s="689"/>
      <c r="HUZ4752" s="691"/>
      <c r="HVA4752" s="689"/>
      <c r="HVB4752" s="691"/>
      <c r="HVC4752" s="689"/>
      <c r="HVD4752" s="691"/>
      <c r="HVE4752" s="689"/>
      <c r="HVF4752" s="691"/>
      <c r="HVG4752" s="689"/>
      <c r="HVH4752" s="691"/>
      <c r="HVI4752" s="689"/>
      <c r="HVJ4752" s="691"/>
      <c r="HVK4752" s="689"/>
      <c r="HVL4752" s="691"/>
      <c r="HVM4752" s="689"/>
      <c r="HVN4752" s="691"/>
      <c r="HVO4752" s="689"/>
      <c r="HVP4752" s="691"/>
      <c r="HVQ4752" s="689"/>
      <c r="HVR4752" s="691"/>
      <c r="HVS4752" s="689"/>
      <c r="HVT4752" s="691"/>
      <c r="HVU4752" s="689"/>
      <c r="HVV4752" s="691"/>
      <c r="HVW4752" s="689"/>
      <c r="HVX4752" s="691"/>
      <c r="HVY4752" s="689"/>
      <c r="HVZ4752" s="691"/>
      <c r="HWA4752" s="689"/>
      <c r="HWB4752" s="691"/>
      <c r="HWC4752" s="689"/>
      <c r="HWD4752" s="691"/>
      <c r="HWE4752" s="689"/>
      <c r="HWF4752" s="691"/>
      <c r="HWG4752" s="689"/>
      <c r="HWH4752" s="691"/>
      <c r="HWI4752" s="689"/>
      <c r="HWJ4752" s="691"/>
      <c r="HWK4752" s="689"/>
      <c r="HWL4752" s="691"/>
      <c r="HWM4752" s="689"/>
      <c r="HWN4752" s="691"/>
      <c r="HWO4752" s="689"/>
      <c r="HWP4752" s="691"/>
      <c r="HWQ4752" s="689"/>
      <c r="HWR4752" s="691"/>
      <c r="HWS4752" s="689"/>
      <c r="HWT4752" s="691"/>
      <c r="HWU4752" s="689"/>
      <c r="HWV4752" s="691"/>
      <c r="HWW4752" s="689"/>
      <c r="HWX4752" s="691"/>
      <c r="HWY4752" s="689"/>
      <c r="HWZ4752" s="691"/>
      <c r="HXA4752" s="689"/>
      <c r="HXB4752" s="691"/>
      <c r="HXC4752" s="689"/>
      <c r="HXD4752" s="691"/>
      <c r="HXE4752" s="689"/>
      <c r="HXF4752" s="691"/>
      <c r="HXG4752" s="689"/>
      <c r="HXH4752" s="691"/>
      <c r="HXI4752" s="689"/>
      <c r="HXJ4752" s="691"/>
      <c r="HXK4752" s="689"/>
      <c r="HXL4752" s="691"/>
      <c r="HXM4752" s="689"/>
      <c r="HXN4752" s="691"/>
      <c r="HXO4752" s="689"/>
      <c r="HXP4752" s="691"/>
      <c r="HXQ4752" s="689"/>
      <c r="HXR4752" s="691"/>
      <c r="HXS4752" s="689"/>
      <c r="HXT4752" s="691"/>
      <c r="HXU4752" s="689"/>
      <c r="HXV4752" s="691"/>
      <c r="HXW4752" s="689"/>
      <c r="HXX4752" s="691"/>
      <c r="HXY4752" s="689"/>
      <c r="HXZ4752" s="691"/>
      <c r="HYA4752" s="689"/>
      <c r="HYB4752" s="691"/>
      <c r="HYC4752" s="689"/>
      <c r="HYD4752" s="691"/>
      <c r="HYE4752" s="689"/>
      <c r="HYF4752" s="691"/>
      <c r="HYG4752" s="689"/>
      <c r="HYH4752" s="691"/>
      <c r="HYI4752" s="689"/>
      <c r="HYJ4752" s="691"/>
      <c r="HYK4752" s="689"/>
      <c r="HYL4752" s="691"/>
      <c r="HYM4752" s="689"/>
      <c r="HYN4752" s="691"/>
      <c r="HYO4752" s="689"/>
      <c r="HYP4752" s="691"/>
      <c r="HYQ4752" s="689"/>
      <c r="HYR4752" s="691"/>
      <c r="HYS4752" s="689"/>
      <c r="HYT4752" s="691"/>
      <c r="HYU4752" s="689"/>
      <c r="HYV4752" s="691"/>
      <c r="HYW4752" s="689"/>
      <c r="HYX4752" s="691"/>
      <c r="HYY4752" s="689"/>
      <c r="HYZ4752" s="691"/>
      <c r="HZA4752" s="689"/>
      <c r="HZB4752" s="691"/>
      <c r="HZC4752" s="689"/>
      <c r="HZD4752" s="691"/>
      <c r="HZE4752" s="689"/>
      <c r="HZF4752" s="691"/>
      <c r="HZG4752" s="689"/>
      <c r="HZH4752" s="691"/>
      <c r="HZI4752" s="689"/>
      <c r="HZJ4752" s="691"/>
      <c r="HZK4752" s="689"/>
      <c r="HZL4752" s="691"/>
      <c r="HZM4752" s="689"/>
      <c r="HZN4752" s="691"/>
      <c r="HZO4752" s="689"/>
      <c r="HZP4752" s="691"/>
      <c r="HZQ4752" s="689"/>
      <c r="HZR4752" s="691"/>
      <c r="HZS4752" s="689"/>
      <c r="HZT4752" s="691"/>
      <c r="HZU4752" s="689"/>
      <c r="HZV4752" s="691"/>
      <c r="HZW4752" s="689"/>
      <c r="HZX4752" s="691"/>
      <c r="HZY4752" s="689"/>
      <c r="HZZ4752" s="691"/>
      <c r="IAA4752" s="689"/>
      <c r="IAB4752" s="691"/>
      <c r="IAC4752" s="689"/>
      <c r="IAD4752" s="691"/>
      <c r="IAE4752" s="689"/>
      <c r="IAF4752" s="691"/>
      <c r="IAG4752" s="689"/>
      <c r="IAH4752" s="691"/>
      <c r="IAI4752" s="689"/>
      <c r="IAJ4752" s="691"/>
      <c r="IAK4752" s="689"/>
      <c r="IAL4752" s="691"/>
      <c r="IAM4752" s="689"/>
      <c r="IAN4752" s="691"/>
      <c r="IAO4752" s="689"/>
      <c r="IAP4752" s="691"/>
      <c r="IAQ4752" s="689"/>
      <c r="IAR4752" s="691"/>
      <c r="IAS4752" s="689"/>
      <c r="IAT4752" s="691"/>
      <c r="IAU4752" s="689"/>
      <c r="IAV4752" s="691"/>
      <c r="IAW4752" s="689"/>
      <c r="IAX4752" s="691"/>
      <c r="IAY4752" s="689"/>
      <c r="IAZ4752" s="691"/>
      <c r="IBA4752" s="689"/>
      <c r="IBB4752" s="691"/>
      <c r="IBC4752" s="689"/>
      <c r="IBD4752" s="691"/>
      <c r="IBE4752" s="689"/>
      <c r="IBF4752" s="691"/>
      <c r="IBG4752" s="689"/>
      <c r="IBH4752" s="691"/>
      <c r="IBI4752" s="689"/>
      <c r="IBJ4752" s="691"/>
      <c r="IBK4752" s="689"/>
      <c r="IBL4752" s="691"/>
      <c r="IBM4752" s="689"/>
      <c r="IBN4752" s="691"/>
      <c r="IBO4752" s="689"/>
      <c r="IBP4752" s="691"/>
      <c r="IBQ4752" s="689"/>
      <c r="IBR4752" s="691"/>
      <c r="IBS4752" s="689"/>
      <c r="IBT4752" s="691"/>
      <c r="IBU4752" s="689"/>
      <c r="IBV4752" s="691"/>
      <c r="IBW4752" s="689"/>
      <c r="IBX4752" s="691"/>
      <c r="IBY4752" s="689"/>
      <c r="IBZ4752" s="691"/>
      <c r="ICA4752" s="689"/>
      <c r="ICB4752" s="691"/>
      <c r="ICC4752" s="689"/>
      <c r="ICD4752" s="691"/>
      <c r="ICE4752" s="689"/>
      <c r="ICF4752" s="691"/>
      <c r="ICG4752" s="689"/>
      <c r="ICH4752" s="691"/>
      <c r="ICI4752" s="689"/>
      <c r="ICJ4752" s="691"/>
      <c r="ICK4752" s="689"/>
      <c r="ICL4752" s="691"/>
      <c r="ICM4752" s="689"/>
      <c r="ICN4752" s="691"/>
      <c r="ICO4752" s="689"/>
      <c r="ICP4752" s="691"/>
      <c r="ICQ4752" s="689"/>
      <c r="ICR4752" s="691"/>
      <c r="ICS4752" s="689"/>
      <c r="ICT4752" s="691"/>
      <c r="ICU4752" s="689"/>
      <c r="ICV4752" s="691"/>
      <c r="ICW4752" s="689"/>
      <c r="ICX4752" s="691"/>
      <c r="ICY4752" s="689"/>
      <c r="ICZ4752" s="691"/>
      <c r="IDA4752" s="689"/>
      <c r="IDB4752" s="691"/>
      <c r="IDC4752" s="689"/>
      <c r="IDD4752" s="691"/>
      <c r="IDE4752" s="689"/>
      <c r="IDF4752" s="691"/>
      <c r="IDG4752" s="689"/>
      <c r="IDH4752" s="691"/>
      <c r="IDI4752" s="689"/>
      <c r="IDJ4752" s="691"/>
      <c r="IDK4752" s="689"/>
      <c r="IDL4752" s="691"/>
      <c r="IDM4752" s="689"/>
      <c r="IDN4752" s="691"/>
      <c r="IDO4752" s="689"/>
      <c r="IDP4752" s="691"/>
      <c r="IDQ4752" s="689"/>
      <c r="IDR4752" s="691"/>
      <c r="IDS4752" s="689"/>
      <c r="IDT4752" s="691"/>
      <c r="IDU4752" s="689"/>
      <c r="IDV4752" s="691"/>
      <c r="IDW4752" s="689"/>
      <c r="IDX4752" s="691"/>
      <c r="IDY4752" s="689"/>
      <c r="IDZ4752" s="691"/>
      <c r="IEA4752" s="689"/>
      <c r="IEB4752" s="691"/>
      <c r="IEC4752" s="689"/>
      <c r="IED4752" s="691"/>
      <c r="IEE4752" s="689"/>
      <c r="IEF4752" s="691"/>
      <c r="IEG4752" s="689"/>
      <c r="IEH4752" s="691"/>
      <c r="IEI4752" s="689"/>
      <c r="IEJ4752" s="691"/>
      <c r="IEK4752" s="689"/>
      <c r="IEL4752" s="691"/>
      <c r="IEM4752" s="689"/>
      <c r="IEN4752" s="691"/>
      <c r="IEO4752" s="689"/>
      <c r="IEP4752" s="691"/>
      <c r="IEQ4752" s="689"/>
      <c r="IER4752" s="691"/>
      <c r="IES4752" s="689"/>
      <c r="IET4752" s="691"/>
      <c r="IEU4752" s="689"/>
      <c r="IEV4752" s="691"/>
      <c r="IEW4752" s="689"/>
      <c r="IEX4752" s="691"/>
      <c r="IEY4752" s="689"/>
      <c r="IEZ4752" s="691"/>
      <c r="IFA4752" s="689"/>
      <c r="IFB4752" s="691"/>
      <c r="IFC4752" s="689"/>
      <c r="IFD4752" s="691"/>
      <c r="IFE4752" s="689"/>
      <c r="IFF4752" s="691"/>
      <c r="IFG4752" s="689"/>
      <c r="IFH4752" s="691"/>
      <c r="IFI4752" s="689"/>
      <c r="IFJ4752" s="691"/>
      <c r="IFK4752" s="689"/>
      <c r="IFL4752" s="691"/>
      <c r="IFM4752" s="689"/>
      <c r="IFN4752" s="691"/>
      <c r="IFO4752" s="689"/>
      <c r="IFP4752" s="691"/>
      <c r="IFQ4752" s="689"/>
      <c r="IFR4752" s="691"/>
      <c r="IFS4752" s="689"/>
      <c r="IFT4752" s="691"/>
      <c r="IFU4752" s="689"/>
      <c r="IFV4752" s="691"/>
      <c r="IFW4752" s="689"/>
      <c r="IFX4752" s="691"/>
      <c r="IFY4752" s="689"/>
      <c r="IFZ4752" s="691"/>
      <c r="IGA4752" s="689"/>
      <c r="IGB4752" s="691"/>
      <c r="IGC4752" s="689"/>
      <c r="IGD4752" s="691"/>
      <c r="IGE4752" s="689"/>
      <c r="IGF4752" s="691"/>
      <c r="IGG4752" s="689"/>
      <c r="IGH4752" s="691"/>
      <c r="IGI4752" s="689"/>
      <c r="IGJ4752" s="691"/>
      <c r="IGK4752" s="689"/>
      <c r="IGL4752" s="691"/>
      <c r="IGM4752" s="689"/>
      <c r="IGN4752" s="691"/>
      <c r="IGO4752" s="689"/>
      <c r="IGP4752" s="691"/>
      <c r="IGQ4752" s="689"/>
      <c r="IGR4752" s="691"/>
      <c r="IGS4752" s="689"/>
      <c r="IGT4752" s="691"/>
      <c r="IGU4752" s="689"/>
      <c r="IGV4752" s="691"/>
      <c r="IGW4752" s="689"/>
      <c r="IGX4752" s="691"/>
      <c r="IGY4752" s="689"/>
      <c r="IGZ4752" s="691"/>
      <c r="IHA4752" s="689"/>
      <c r="IHB4752" s="691"/>
      <c r="IHC4752" s="689"/>
      <c r="IHD4752" s="691"/>
      <c r="IHE4752" s="689"/>
      <c r="IHF4752" s="691"/>
      <c r="IHG4752" s="689"/>
      <c r="IHH4752" s="691"/>
      <c r="IHI4752" s="689"/>
      <c r="IHJ4752" s="691"/>
      <c r="IHK4752" s="689"/>
      <c r="IHL4752" s="691"/>
      <c r="IHM4752" s="689"/>
      <c r="IHN4752" s="691"/>
      <c r="IHO4752" s="689"/>
      <c r="IHP4752" s="691"/>
      <c r="IHQ4752" s="689"/>
      <c r="IHR4752" s="691"/>
      <c r="IHS4752" s="689"/>
      <c r="IHT4752" s="691"/>
      <c r="IHU4752" s="689"/>
      <c r="IHV4752" s="691"/>
      <c r="IHW4752" s="689"/>
      <c r="IHX4752" s="691"/>
      <c r="IHY4752" s="689"/>
      <c r="IHZ4752" s="691"/>
      <c r="IIA4752" s="689"/>
      <c r="IIB4752" s="691"/>
      <c r="IIC4752" s="689"/>
      <c r="IID4752" s="691"/>
      <c r="IIE4752" s="689"/>
      <c r="IIF4752" s="691"/>
      <c r="IIG4752" s="689"/>
      <c r="IIH4752" s="691"/>
      <c r="III4752" s="689"/>
      <c r="IIJ4752" s="691"/>
      <c r="IIK4752" s="689"/>
      <c r="IIL4752" s="691"/>
      <c r="IIM4752" s="689"/>
      <c r="IIN4752" s="691"/>
      <c r="IIO4752" s="689"/>
      <c r="IIP4752" s="691"/>
      <c r="IIQ4752" s="689"/>
      <c r="IIR4752" s="691"/>
      <c r="IIS4752" s="689"/>
      <c r="IIT4752" s="691"/>
      <c r="IIU4752" s="689"/>
      <c r="IIV4752" s="691"/>
      <c r="IIW4752" s="689"/>
      <c r="IIX4752" s="691"/>
      <c r="IIY4752" s="689"/>
      <c r="IIZ4752" s="691"/>
      <c r="IJA4752" s="689"/>
      <c r="IJB4752" s="691"/>
      <c r="IJC4752" s="689"/>
      <c r="IJD4752" s="691"/>
      <c r="IJE4752" s="689"/>
      <c r="IJF4752" s="691"/>
      <c r="IJG4752" s="689"/>
      <c r="IJH4752" s="691"/>
      <c r="IJI4752" s="689"/>
      <c r="IJJ4752" s="691"/>
      <c r="IJK4752" s="689"/>
      <c r="IJL4752" s="691"/>
      <c r="IJM4752" s="689"/>
      <c r="IJN4752" s="691"/>
      <c r="IJO4752" s="689"/>
      <c r="IJP4752" s="691"/>
      <c r="IJQ4752" s="689"/>
      <c r="IJR4752" s="691"/>
      <c r="IJS4752" s="689"/>
      <c r="IJT4752" s="691"/>
      <c r="IJU4752" s="689"/>
      <c r="IJV4752" s="691"/>
      <c r="IJW4752" s="689"/>
      <c r="IJX4752" s="691"/>
      <c r="IJY4752" s="689"/>
      <c r="IJZ4752" s="691"/>
      <c r="IKA4752" s="689"/>
      <c r="IKB4752" s="691"/>
      <c r="IKC4752" s="689"/>
      <c r="IKD4752" s="691"/>
      <c r="IKE4752" s="689"/>
      <c r="IKF4752" s="691"/>
      <c r="IKG4752" s="689"/>
      <c r="IKH4752" s="691"/>
      <c r="IKI4752" s="689"/>
      <c r="IKJ4752" s="691"/>
      <c r="IKK4752" s="689"/>
      <c r="IKL4752" s="691"/>
      <c r="IKM4752" s="689"/>
      <c r="IKN4752" s="691"/>
      <c r="IKO4752" s="689"/>
      <c r="IKP4752" s="691"/>
      <c r="IKQ4752" s="689"/>
      <c r="IKR4752" s="691"/>
      <c r="IKS4752" s="689"/>
      <c r="IKT4752" s="691"/>
      <c r="IKU4752" s="689"/>
      <c r="IKV4752" s="691"/>
      <c r="IKW4752" s="689"/>
      <c r="IKX4752" s="691"/>
      <c r="IKY4752" s="689"/>
      <c r="IKZ4752" s="691"/>
      <c r="ILA4752" s="689"/>
      <c r="ILB4752" s="691"/>
      <c r="ILC4752" s="689"/>
      <c r="ILD4752" s="691"/>
      <c r="ILE4752" s="689"/>
      <c r="ILF4752" s="691"/>
      <c r="ILG4752" s="689"/>
      <c r="ILH4752" s="691"/>
      <c r="ILI4752" s="689"/>
      <c r="ILJ4752" s="691"/>
      <c r="ILK4752" s="689"/>
      <c r="ILL4752" s="691"/>
      <c r="ILM4752" s="689"/>
      <c r="ILN4752" s="691"/>
      <c r="ILO4752" s="689"/>
      <c r="ILP4752" s="691"/>
      <c r="ILQ4752" s="689"/>
      <c r="ILR4752" s="691"/>
      <c r="ILS4752" s="689"/>
      <c r="ILT4752" s="691"/>
      <c r="ILU4752" s="689"/>
      <c r="ILV4752" s="691"/>
      <c r="ILW4752" s="689"/>
      <c r="ILX4752" s="691"/>
      <c r="ILY4752" s="689"/>
      <c r="ILZ4752" s="691"/>
      <c r="IMA4752" s="689"/>
      <c r="IMB4752" s="691"/>
      <c r="IMC4752" s="689"/>
      <c r="IMD4752" s="691"/>
      <c r="IME4752" s="689"/>
      <c r="IMF4752" s="691"/>
      <c r="IMG4752" s="689"/>
      <c r="IMH4752" s="691"/>
      <c r="IMI4752" s="689"/>
      <c r="IMJ4752" s="691"/>
      <c r="IMK4752" s="689"/>
      <c r="IML4752" s="691"/>
      <c r="IMM4752" s="689"/>
      <c r="IMN4752" s="691"/>
      <c r="IMO4752" s="689"/>
      <c r="IMP4752" s="691"/>
      <c r="IMQ4752" s="689"/>
      <c r="IMR4752" s="691"/>
      <c r="IMS4752" s="689"/>
      <c r="IMT4752" s="691"/>
      <c r="IMU4752" s="689"/>
      <c r="IMV4752" s="691"/>
      <c r="IMW4752" s="689"/>
      <c r="IMX4752" s="691"/>
      <c r="IMY4752" s="689"/>
      <c r="IMZ4752" s="691"/>
      <c r="INA4752" s="689"/>
      <c r="INB4752" s="691"/>
      <c r="INC4752" s="689"/>
      <c r="IND4752" s="691"/>
      <c r="INE4752" s="689"/>
      <c r="INF4752" s="691"/>
      <c r="ING4752" s="689"/>
      <c r="INH4752" s="691"/>
      <c r="INI4752" s="689"/>
      <c r="INJ4752" s="691"/>
      <c r="INK4752" s="689"/>
      <c r="INL4752" s="691"/>
      <c r="INM4752" s="689"/>
      <c r="INN4752" s="691"/>
      <c r="INO4752" s="689"/>
      <c r="INP4752" s="691"/>
      <c r="INQ4752" s="689"/>
      <c r="INR4752" s="691"/>
      <c r="INS4752" s="689"/>
      <c r="INT4752" s="691"/>
      <c r="INU4752" s="689"/>
      <c r="INV4752" s="691"/>
      <c r="INW4752" s="689"/>
      <c r="INX4752" s="691"/>
      <c r="INY4752" s="689"/>
      <c r="INZ4752" s="691"/>
      <c r="IOA4752" s="689"/>
      <c r="IOB4752" s="691"/>
      <c r="IOC4752" s="689"/>
      <c r="IOD4752" s="691"/>
      <c r="IOE4752" s="689"/>
      <c r="IOF4752" s="691"/>
      <c r="IOG4752" s="689"/>
      <c r="IOH4752" s="691"/>
      <c r="IOI4752" s="689"/>
      <c r="IOJ4752" s="691"/>
      <c r="IOK4752" s="689"/>
      <c r="IOL4752" s="691"/>
      <c r="IOM4752" s="689"/>
      <c r="ION4752" s="691"/>
      <c r="IOO4752" s="689"/>
      <c r="IOP4752" s="691"/>
      <c r="IOQ4752" s="689"/>
      <c r="IOR4752" s="691"/>
      <c r="IOS4752" s="689"/>
      <c r="IOT4752" s="691"/>
      <c r="IOU4752" s="689"/>
      <c r="IOV4752" s="691"/>
      <c r="IOW4752" s="689"/>
      <c r="IOX4752" s="691"/>
      <c r="IOY4752" s="689"/>
      <c r="IOZ4752" s="691"/>
      <c r="IPA4752" s="689"/>
      <c r="IPB4752" s="691"/>
      <c r="IPC4752" s="689"/>
      <c r="IPD4752" s="691"/>
      <c r="IPE4752" s="689"/>
      <c r="IPF4752" s="691"/>
      <c r="IPG4752" s="689"/>
      <c r="IPH4752" s="691"/>
      <c r="IPI4752" s="689"/>
      <c r="IPJ4752" s="691"/>
      <c r="IPK4752" s="689"/>
      <c r="IPL4752" s="691"/>
      <c r="IPM4752" s="689"/>
      <c r="IPN4752" s="691"/>
      <c r="IPO4752" s="689"/>
      <c r="IPP4752" s="691"/>
      <c r="IPQ4752" s="689"/>
      <c r="IPR4752" s="691"/>
      <c r="IPS4752" s="689"/>
      <c r="IPT4752" s="691"/>
      <c r="IPU4752" s="689"/>
      <c r="IPV4752" s="691"/>
      <c r="IPW4752" s="689"/>
      <c r="IPX4752" s="691"/>
      <c r="IPY4752" s="689"/>
      <c r="IPZ4752" s="691"/>
      <c r="IQA4752" s="689"/>
      <c r="IQB4752" s="691"/>
      <c r="IQC4752" s="689"/>
      <c r="IQD4752" s="691"/>
      <c r="IQE4752" s="689"/>
      <c r="IQF4752" s="691"/>
      <c r="IQG4752" s="689"/>
      <c r="IQH4752" s="691"/>
      <c r="IQI4752" s="689"/>
      <c r="IQJ4752" s="691"/>
      <c r="IQK4752" s="689"/>
      <c r="IQL4752" s="691"/>
      <c r="IQM4752" s="689"/>
      <c r="IQN4752" s="691"/>
      <c r="IQO4752" s="689"/>
      <c r="IQP4752" s="691"/>
      <c r="IQQ4752" s="689"/>
      <c r="IQR4752" s="691"/>
      <c r="IQS4752" s="689"/>
      <c r="IQT4752" s="691"/>
      <c r="IQU4752" s="689"/>
      <c r="IQV4752" s="691"/>
      <c r="IQW4752" s="689"/>
      <c r="IQX4752" s="691"/>
      <c r="IQY4752" s="689"/>
      <c r="IQZ4752" s="691"/>
      <c r="IRA4752" s="689"/>
      <c r="IRB4752" s="691"/>
      <c r="IRC4752" s="689"/>
      <c r="IRD4752" s="691"/>
      <c r="IRE4752" s="689"/>
      <c r="IRF4752" s="691"/>
      <c r="IRG4752" s="689"/>
      <c r="IRH4752" s="691"/>
      <c r="IRI4752" s="689"/>
      <c r="IRJ4752" s="691"/>
      <c r="IRK4752" s="689"/>
      <c r="IRL4752" s="691"/>
      <c r="IRM4752" s="689"/>
      <c r="IRN4752" s="691"/>
      <c r="IRO4752" s="689"/>
      <c r="IRP4752" s="691"/>
      <c r="IRQ4752" s="689"/>
      <c r="IRR4752" s="691"/>
      <c r="IRS4752" s="689"/>
      <c r="IRT4752" s="691"/>
      <c r="IRU4752" s="689"/>
      <c r="IRV4752" s="691"/>
      <c r="IRW4752" s="689"/>
      <c r="IRX4752" s="691"/>
      <c r="IRY4752" s="689"/>
      <c r="IRZ4752" s="691"/>
      <c r="ISA4752" s="689"/>
      <c r="ISB4752" s="691"/>
      <c r="ISC4752" s="689"/>
      <c r="ISD4752" s="691"/>
      <c r="ISE4752" s="689"/>
      <c r="ISF4752" s="691"/>
      <c r="ISG4752" s="689"/>
      <c r="ISH4752" s="691"/>
      <c r="ISI4752" s="689"/>
      <c r="ISJ4752" s="691"/>
      <c r="ISK4752" s="689"/>
      <c r="ISL4752" s="691"/>
      <c r="ISM4752" s="689"/>
      <c r="ISN4752" s="691"/>
      <c r="ISO4752" s="689"/>
      <c r="ISP4752" s="691"/>
      <c r="ISQ4752" s="689"/>
      <c r="ISR4752" s="691"/>
      <c r="ISS4752" s="689"/>
      <c r="IST4752" s="691"/>
      <c r="ISU4752" s="689"/>
      <c r="ISV4752" s="691"/>
      <c r="ISW4752" s="689"/>
      <c r="ISX4752" s="691"/>
      <c r="ISY4752" s="689"/>
      <c r="ISZ4752" s="691"/>
      <c r="ITA4752" s="689"/>
      <c r="ITB4752" s="691"/>
      <c r="ITC4752" s="689"/>
      <c r="ITD4752" s="691"/>
      <c r="ITE4752" s="689"/>
      <c r="ITF4752" s="691"/>
      <c r="ITG4752" s="689"/>
      <c r="ITH4752" s="691"/>
      <c r="ITI4752" s="689"/>
      <c r="ITJ4752" s="691"/>
      <c r="ITK4752" s="689"/>
      <c r="ITL4752" s="691"/>
      <c r="ITM4752" s="689"/>
      <c r="ITN4752" s="691"/>
      <c r="ITO4752" s="689"/>
      <c r="ITP4752" s="691"/>
      <c r="ITQ4752" s="689"/>
      <c r="ITR4752" s="691"/>
      <c r="ITS4752" s="689"/>
      <c r="ITT4752" s="691"/>
      <c r="ITU4752" s="689"/>
      <c r="ITV4752" s="691"/>
      <c r="ITW4752" s="689"/>
      <c r="ITX4752" s="691"/>
      <c r="ITY4752" s="689"/>
      <c r="ITZ4752" s="691"/>
      <c r="IUA4752" s="689"/>
      <c r="IUB4752" s="691"/>
      <c r="IUC4752" s="689"/>
      <c r="IUD4752" s="691"/>
      <c r="IUE4752" s="689"/>
      <c r="IUF4752" s="691"/>
      <c r="IUG4752" s="689"/>
      <c r="IUH4752" s="691"/>
      <c r="IUI4752" s="689"/>
      <c r="IUJ4752" s="691"/>
      <c r="IUK4752" s="689"/>
      <c r="IUL4752" s="691"/>
      <c r="IUM4752" s="689"/>
      <c r="IUN4752" s="691"/>
      <c r="IUO4752" s="689"/>
      <c r="IUP4752" s="691"/>
      <c r="IUQ4752" s="689"/>
      <c r="IUR4752" s="691"/>
      <c r="IUS4752" s="689"/>
      <c r="IUT4752" s="691"/>
      <c r="IUU4752" s="689"/>
      <c r="IUV4752" s="691"/>
      <c r="IUW4752" s="689"/>
      <c r="IUX4752" s="691"/>
      <c r="IUY4752" s="689"/>
      <c r="IUZ4752" s="691"/>
      <c r="IVA4752" s="689"/>
      <c r="IVB4752" s="691"/>
      <c r="IVC4752" s="689"/>
      <c r="IVD4752" s="691"/>
      <c r="IVE4752" s="689"/>
      <c r="IVF4752" s="691"/>
      <c r="IVG4752" s="689"/>
      <c r="IVH4752" s="691"/>
      <c r="IVI4752" s="689"/>
      <c r="IVJ4752" s="691"/>
      <c r="IVK4752" s="689"/>
      <c r="IVL4752" s="691"/>
      <c r="IVM4752" s="689"/>
      <c r="IVN4752" s="691"/>
      <c r="IVO4752" s="689"/>
      <c r="IVP4752" s="691"/>
      <c r="IVQ4752" s="689"/>
      <c r="IVR4752" s="691"/>
      <c r="IVS4752" s="689"/>
      <c r="IVT4752" s="691"/>
      <c r="IVU4752" s="689"/>
      <c r="IVV4752" s="691"/>
      <c r="IVW4752" s="689"/>
      <c r="IVX4752" s="691"/>
      <c r="IVY4752" s="689"/>
      <c r="IVZ4752" s="691"/>
      <c r="IWA4752" s="689"/>
      <c r="IWB4752" s="691"/>
      <c r="IWC4752" s="689"/>
      <c r="IWD4752" s="691"/>
      <c r="IWE4752" s="689"/>
      <c r="IWF4752" s="691"/>
      <c r="IWG4752" s="689"/>
      <c r="IWH4752" s="691"/>
      <c r="IWI4752" s="689"/>
      <c r="IWJ4752" s="691"/>
      <c r="IWK4752" s="689"/>
      <c r="IWL4752" s="691"/>
      <c r="IWM4752" s="689"/>
      <c r="IWN4752" s="691"/>
      <c r="IWO4752" s="689"/>
      <c r="IWP4752" s="691"/>
      <c r="IWQ4752" s="689"/>
      <c r="IWR4752" s="691"/>
      <c r="IWS4752" s="689"/>
      <c r="IWT4752" s="691"/>
      <c r="IWU4752" s="689"/>
      <c r="IWV4752" s="691"/>
      <c r="IWW4752" s="689"/>
      <c r="IWX4752" s="691"/>
      <c r="IWY4752" s="689"/>
      <c r="IWZ4752" s="691"/>
      <c r="IXA4752" s="689"/>
      <c r="IXB4752" s="691"/>
      <c r="IXC4752" s="689"/>
      <c r="IXD4752" s="691"/>
      <c r="IXE4752" s="689"/>
      <c r="IXF4752" s="691"/>
      <c r="IXG4752" s="689"/>
      <c r="IXH4752" s="691"/>
      <c r="IXI4752" s="689"/>
      <c r="IXJ4752" s="691"/>
      <c r="IXK4752" s="689"/>
      <c r="IXL4752" s="691"/>
      <c r="IXM4752" s="689"/>
      <c r="IXN4752" s="691"/>
      <c r="IXO4752" s="689"/>
      <c r="IXP4752" s="691"/>
      <c r="IXQ4752" s="689"/>
      <c r="IXR4752" s="691"/>
      <c r="IXS4752" s="689"/>
      <c r="IXT4752" s="691"/>
      <c r="IXU4752" s="689"/>
      <c r="IXV4752" s="691"/>
      <c r="IXW4752" s="689"/>
      <c r="IXX4752" s="691"/>
      <c r="IXY4752" s="689"/>
      <c r="IXZ4752" s="691"/>
      <c r="IYA4752" s="689"/>
      <c r="IYB4752" s="691"/>
      <c r="IYC4752" s="689"/>
      <c r="IYD4752" s="691"/>
      <c r="IYE4752" s="689"/>
      <c r="IYF4752" s="691"/>
      <c r="IYG4752" s="689"/>
      <c r="IYH4752" s="691"/>
      <c r="IYI4752" s="689"/>
      <c r="IYJ4752" s="691"/>
      <c r="IYK4752" s="689"/>
      <c r="IYL4752" s="691"/>
      <c r="IYM4752" s="689"/>
      <c r="IYN4752" s="691"/>
      <c r="IYO4752" s="689"/>
      <c r="IYP4752" s="691"/>
      <c r="IYQ4752" s="689"/>
      <c r="IYR4752" s="691"/>
      <c r="IYS4752" s="689"/>
      <c r="IYT4752" s="691"/>
      <c r="IYU4752" s="689"/>
      <c r="IYV4752" s="691"/>
      <c r="IYW4752" s="689"/>
      <c r="IYX4752" s="691"/>
      <c r="IYY4752" s="689"/>
      <c r="IYZ4752" s="691"/>
      <c r="IZA4752" s="689"/>
      <c r="IZB4752" s="691"/>
      <c r="IZC4752" s="689"/>
      <c r="IZD4752" s="691"/>
      <c r="IZE4752" s="689"/>
      <c r="IZF4752" s="691"/>
      <c r="IZG4752" s="689"/>
      <c r="IZH4752" s="691"/>
      <c r="IZI4752" s="689"/>
      <c r="IZJ4752" s="691"/>
      <c r="IZK4752" s="689"/>
      <c r="IZL4752" s="691"/>
      <c r="IZM4752" s="689"/>
      <c r="IZN4752" s="691"/>
      <c r="IZO4752" s="689"/>
      <c r="IZP4752" s="691"/>
      <c r="IZQ4752" s="689"/>
      <c r="IZR4752" s="691"/>
      <c r="IZS4752" s="689"/>
      <c r="IZT4752" s="691"/>
      <c r="IZU4752" s="689"/>
      <c r="IZV4752" s="691"/>
      <c r="IZW4752" s="689"/>
      <c r="IZX4752" s="691"/>
      <c r="IZY4752" s="689"/>
      <c r="IZZ4752" s="691"/>
      <c r="JAA4752" s="689"/>
      <c r="JAB4752" s="691"/>
      <c r="JAC4752" s="689"/>
      <c r="JAD4752" s="691"/>
      <c r="JAE4752" s="689"/>
      <c r="JAF4752" s="691"/>
      <c r="JAG4752" s="689"/>
      <c r="JAH4752" s="691"/>
      <c r="JAI4752" s="689"/>
      <c r="JAJ4752" s="691"/>
      <c r="JAK4752" s="689"/>
      <c r="JAL4752" s="691"/>
      <c r="JAM4752" s="689"/>
      <c r="JAN4752" s="691"/>
      <c r="JAO4752" s="689"/>
      <c r="JAP4752" s="691"/>
      <c r="JAQ4752" s="689"/>
      <c r="JAR4752" s="691"/>
      <c r="JAS4752" s="689"/>
      <c r="JAT4752" s="691"/>
      <c r="JAU4752" s="689"/>
      <c r="JAV4752" s="691"/>
      <c r="JAW4752" s="689"/>
      <c r="JAX4752" s="691"/>
      <c r="JAY4752" s="689"/>
      <c r="JAZ4752" s="691"/>
      <c r="JBA4752" s="689"/>
      <c r="JBB4752" s="691"/>
      <c r="JBC4752" s="689"/>
      <c r="JBD4752" s="691"/>
      <c r="JBE4752" s="689"/>
      <c r="JBF4752" s="691"/>
      <c r="JBG4752" s="689"/>
      <c r="JBH4752" s="691"/>
      <c r="JBI4752" s="689"/>
      <c r="JBJ4752" s="691"/>
      <c r="JBK4752" s="689"/>
      <c r="JBL4752" s="691"/>
      <c r="JBM4752" s="689"/>
      <c r="JBN4752" s="691"/>
      <c r="JBO4752" s="689"/>
      <c r="JBP4752" s="691"/>
      <c r="JBQ4752" s="689"/>
      <c r="JBR4752" s="691"/>
      <c r="JBS4752" s="689"/>
      <c r="JBT4752" s="691"/>
      <c r="JBU4752" s="689"/>
      <c r="JBV4752" s="691"/>
      <c r="JBW4752" s="689"/>
      <c r="JBX4752" s="691"/>
      <c r="JBY4752" s="689"/>
      <c r="JBZ4752" s="691"/>
      <c r="JCA4752" s="689"/>
      <c r="JCB4752" s="691"/>
      <c r="JCC4752" s="689"/>
      <c r="JCD4752" s="691"/>
      <c r="JCE4752" s="689"/>
      <c r="JCF4752" s="691"/>
      <c r="JCG4752" s="689"/>
      <c r="JCH4752" s="691"/>
      <c r="JCI4752" s="689"/>
      <c r="JCJ4752" s="691"/>
      <c r="JCK4752" s="689"/>
      <c r="JCL4752" s="691"/>
      <c r="JCM4752" s="689"/>
      <c r="JCN4752" s="691"/>
      <c r="JCO4752" s="689"/>
      <c r="JCP4752" s="691"/>
      <c r="JCQ4752" s="689"/>
      <c r="JCR4752" s="691"/>
      <c r="JCS4752" s="689"/>
      <c r="JCT4752" s="691"/>
      <c r="JCU4752" s="689"/>
      <c r="JCV4752" s="691"/>
      <c r="JCW4752" s="689"/>
      <c r="JCX4752" s="691"/>
      <c r="JCY4752" s="689"/>
      <c r="JCZ4752" s="691"/>
      <c r="JDA4752" s="689"/>
      <c r="JDB4752" s="691"/>
      <c r="JDC4752" s="689"/>
      <c r="JDD4752" s="691"/>
      <c r="JDE4752" s="689"/>
      <c r="JDF4752" s="691"/>
      <c r="JDG4752" s="689"/>
      <c r="JDH4752" s="691"/>
      <c r="JDI4752" s="689"/>
      <c r="JDJ4752" s="691"/>
      <c r="JDK4752" s="689"/>
      <c r="JDL4752" s="691"/>
      <c r="JDM4752" s="689"/>
      <c r="JDN4752" s="691"/>
      <c r="JDO4752" s="689"/>
      <c r="JDP4752" s="691"/>
      <c r="JDQ4752" s="689"/>
      <c r="JDR4752" s="691"/>
      <c r="JDS4752" s="689"/>
      <c r="JDT4752" s="691"/>
      <c r="JDU4752" s="689"/>
      <c r="JDV4752" s="691"/>
      <c r="JDW4752" s="689"/>
      <c r="JDX4752" s="691"/>
      <c r="JDY4752" s="689"/>
      <c r="JDZ4752" s="691"/>
      <c r="JEA4752" s="689"/>
      <c r="JEB4752" s="691"/>
      <c r="JEC4752" s="689"/>
      <c r="JED4752" s="691"/>
      <c r="JEE4752" s="689"/>
      <c r="JEF4752" s="691"/>
      <c r="JEG4752" s="689"/>
      <c r="JEH4752" s="691"/>
      <c r="JEI4752" s="689"/>
      <c r="JEJ4752" s="691"/>
      <c r="JEK4752" s="689"/>
      <c r="JEL4752" s="691"/>
      <c r="JEM4752" s="689"/>
      <c r="JEN4752" s="691"/>
      <c r="JEO4752" s="689"/>
      <c r="JEP4752" s="691"/>
      <c r="JEQ4752" s="689"/>
      <c r="JER4752" s="691"/>
      <c r="JES4752" s="689"/>
      <c r="JET4752" s="691"/>
      <c r="JEU4752" s="689"/>
      <c r="JEV4752" s="691"/>
      <c r="JEW4752" s="689"/>
      <c r="JEX4752" s="691"/>
      <c r="JEY4752" s="689"/>
      <c r="JEZ4752" s="691"/>
      <c r="JFA4752" s="689"/>
      <c r="JFB4752" s="691"/>
      <c r="JFC4752" s="689"/>
      <c r="JFD4752" s="691"/>
      <c r="JFE4752" s="689"/>
      <c r="JFF4752" s="691"/>
      <c r="JFG4752" s="689"/>
      <c r="JFH4752" s="691"/>
      <c r="JFI4752" s="689"/>
      <c r="JFJ4752" s="691"/>
      <c r="JFK4752" s="689"/>
      <c r="JFL4752" s="691"/>
      <c r="JFM4752" s="689"/>
      <c r="JFN4752" s="691"/>
      <c r="JFO4752" s="689"/>
      <c r="JFP4752" s="691"/>
      <c r="JFQ4752" s="689"/>
      <c r="JFR4752" s="691"/>
      <c r="JFS4752" s="689"/>
      <c r="JFT4752" s="691"/>
      <c r="JFU4752" s="689"/>
      <c r="JFV4752" s="691"/>
      <c r="JFW4752" s="689"/>
      <c r="JFX4752" s="691"/>
      <c r="JFY4752" s="689"/>
      <c r="JFZ4752" s="691"/>
      <c r="JGA4752" s="689"/>
      <c r="JGB4752" s="691"/>
      <c r="JGC4752" s="689"/>
      <c r="JGD4752" s="691"/>
      <c r="JGE4752" s="689"/>
      <c r="JGF4752" s="691"/>
      <c r="JGG4752" s="689"/>
      <c r="JGH4752" s="691"/>
      <c r="JGI4752" s="689"/>
      <c r="JGJ4752" s="691"/>
      <c r="JGK4752" s="689"/>
      <c r="JGL4752" s="691"/>
      <c r="JGM4752" s="689"/>
      <c r="JGN4752" s="691"/>
      <c r="JGO4752" s="689"/>
      <c r="JGP4752" s="691"/>
      <c r="JGQ4752" s="689"/>
      <c r="JGR4752" s="691"/>
      <c r="JGS4752" s="689"/>
      <c r="JGT4752" s="691"/>
      <c r="JGU4752" s="689"/>
      <c r="JGV4752" s="691"/>
      <c r="JGW4752" s="689"/>
      <c r="JGX4752" s="691"/>
      <c r="JGY4752" s="689"/>
      <c r="JGZ4752" s="691"/>
      <c r="JHA4752" s="689"/>
      <c r="JHB4752" s="691"/>
      <c r="JHC4752" s="689"/>
      <c r="JHD4752" s="691"/>
      <c r="JHE4752" s="689"/>
      <c r="JHF4752" s="691"/>
      <c r="JHG4752" s="689"/>
      <c r="JHH4752" s="691"/>
      <c r="JHI4752" s="689"/>
      <c r="JHJ4752" s="691"/>
      <c r="JHK4752" s="689"/>
      <c r="JHL4752" s="691"/>
      <c r="JHM4752" s="689"/>
      <c r="JHN4752" s="691"/>
      <c r="JHO4752" s="689"/>
      <c r="JHP4752" s="691"/>
      <c r="JHQ4752" s="689"/>
      <c r="JHR4752" s="691"/>
      <c r="JHS4752" s="689"/>
      <c r="JHT4752" s="691"/>
      <c r="JHU4752" s="689"/>
      <c r="JHV4752" s="691"/>
      <c r="JHW4752" s="689"/>
      <c r="JHX4752" s="691"/>
      <c r="JHY4752" s="689"/>
      <c r="JHZ4752" s="691"/>
      <c r="JIA4752" s="689"/>
      <c r="JIB4752" s="691"/>
      <c r="JIC4752" s="689"/>
      <c r="JID4752" s="691"/>
      <c r="JIE4752" s="689"/>
      <c r="JIF4752" s="691"/>
      <c r="JIG4752" s="689"/>
      <c r="JIH4752" s="691"/>
      <c r="JII4752" s="689"/>
      <c r="JIJ4752" s="691"/>
      <c r="JIK4752" s="689"/>
      <c r="JIL4752" s="691"/>
      <c r="JIM4752" s="689"/>
      <c r="JIN4752" s="691"/>
      <c r="JIO4752" s="689"/>
      <c r="JIP4752" s="691"/>
      <c r="JIQ4752" s="689"/>
      <c r="JIR4752" s="691"/>
      <c r="JIS4752" s="689"/>
      <c r="JIT4752" s="691"/>
      <c r="JIU4752" s="689"/>
      <c r="JIV4752" s="691"/>
      <c r="JIW4752" s="689"/>
      <c r="JIX4752" s="691"/>
      <c r="JIY4752" s="689"/>
      <c r="JIZ4752" s="691"/>
      <c r="JJA4752" s="689"/>
      <c r="JJB4752" s="691"/>
      <c r="JJC4752" s="689"/>
      <c r="JJD4752" s="691"/>
      <c r="JJE4752" s="689"/>
      <c r="JJF4752" s="691"/>
      <c r="JJG4752" s="689"/>
      <c r="JJH4752" s="691"/>
      <c r="JJI4752" s="689"/>
      <c r="JJJ4752" s="691"/>
      <c r="JJK4752" s="689"/>
      <c r="JJL4752" s="691"/>
      <c r="JJM4752" s="689"/>
      <c r="JJN4752" s="691"/>
      <c r="JJO4752" s="689"/>
      <c r="JJP4752" s="691"/>
      <c r="JJQ4752" s="689"/>
      <c r="JJR4752" s="691"/>
      <c r="JJS4752" s="689"/>
      <c r="JJT4752" s="691"/>
      <c r="JJU4752" s="689"/>
      <c r="JJV4752" s="691"/>
      <c r="JJW4752" s="689"/>
      <c r="JJX4752" s="691"/>
      <c r="JJY4752" s="689"/>
      <c r="JJZ4752" s="691"/>
      <c r="JKA4752" s="689"/>
      <c r="JKB4752" s="691"/>
      <c r="JKC4752" s="689"/>
      <c r="JKD4752" s="691"/>
      <c r="JKE4752" s="689"/>
      <c r="JKF4752" s="691"/>
      <c r="JKG4752" s="689"/>
      <c r="JKH4752" s="691"/>
      <c r="JKI4752" s="689"/>
      <c r="JKJ4752" s="691"/>
      <c r="JKK4752" s="689"/>
      <c r="JKL4752" s="691"/>
      <c r="JKM4752" s="689"/>
      <c r="JKN4752" s="691"/>
      <c r="JKO4752" s="689"/>
      <c r="JKP4752" s="691"/>
      <c r="JKQ4752" s="689"/>
      <c r="JKR4752" s="691"/>
      <c r="JKS4752" s="689"/>
      <c r="JKT4752" s="691"/>
      <c r="JKU4752" s="689"/>
      <c r="JKV4752" s="691"/>
      <c r="JKW4752" s="689"/>
      <c r="JKX4752" s="691"/>
      <c r="JKY4752" s="689"/>
      <c r="JKZ4752" s="691"/>
      <c r="JLA4752" s="689"/>
      <c r="JLB4752" s="691"/>
      <c r="JLC4752" s="689"/>
      <c r="JLD4752" s="691"/>
      <c r="JLE4752" s="689"/>
      <c r="JLF4752" s="691"/>
      <c r="JLG4752" s="689"/>
      <c r="JLH4752" s="691"/>
      <c r="JLI4752" s="689"/>
      <c r="JLJ4752" s="691"/>
      <c r="JLK4752" s="689"/>
      <c r="JLL4752" s="691"/>
      <c r="JLM4752" s="689"/>
      <c r="JLN4752" s="691"/>
      <c r="JLO4752" s="689"/>
      <c r="JLP4752" s="691"/>
      <c r="JLQ4752" s="689"/>
      <c r="JLR4752" s="691"/>
      <c r="JLS4752" s="689"/>
      <c r="JLT4752" s="691"/>
      <c r="JLU4752" s="689"/>
      <c r="JLV4752" s="691"/>
      <c r="JLW4752" s="689"/>
      <c r="JLX4752" s="691"/>
      <c r="JLY4752" s="689"/>
      <c r="JLZ4752" s="691"/>
      <c r="JMA4752" s="689"/>
      <c r="JMB4752" s="691"/>
      <c r="JMC4752" s="689"/>
      <c r="JMD4752" s="691"/>
      <c r="JME4752" s="689"/>
      <c r="JMF4752" s="691"/>
      <c r="JMG4752" s="689"/>
      <c r="JMH4752" s="691"/>
      <c r="JMI4752" s="689"/>
      <c r="JMJ4752" s="691"/>
      <c r="JMK4752" s="689"/>
      <c r="JML4752" s="691"/>
      <c r="JMM4752" s="689"/>
      <c r="JMN4752" s="691"/>
      <c r="JMO4752" s="689"/>
      <c r="JMP4752" s="691"/>
      <c r="JMQ4752" s="689"/>
      <c r="JMR4752" s="691"/>
      <c r="JMS4752" s="689"/>
      <c r="JMT4752" s="691"/>
      <c r="JMU4752" s="689"/>
      <c r="JMV4752" s="691"/>
      <c r="JMW4752" s="689"/>
      <c r="JMX4752" s="691"/>
      <c r="JMY4752" s="689"/>
      <c r="JMZ4752" s="691"/>
      <c r="JNA4752" s="689"/>
      <c r="JNB4752" s="691"/>
      <c r="JNC4752" s="689"/>
      <c r="JND4752" s="691"/>
      <c r="JNE4752" s="689"/>
      <c r="JNF4752" s="691"/>
      <c r="JNG4752" s="689"/>
      <c r="JNH4752" s="691"/>
      <c r="JNI4752" s="689"/>
      <c r="JNJ4752" s="691"/>
      <c r="JNK4752" s="689"/>
      <c r="JNL4752" s="691"/>
      <c r="JNM4752" s="689"/>
      <c r="JNN4752" s="691"/>
      <c r="JNO4752" s="689"/>
      <c r="JNP4752" s="691"/>
      <c r="JNQ4752" s="689"/>
      <c r="JNR4752" s="691"/>
      <c r="JNS4752" s="689"/>
      <c r="JNT4752" s="691"/>
      <c r="JNU4752" s="689"/>
      <c r="JNV4752" s="691"/>
      <c r="JNW4752" s="689"/>
      <c r="JNX4752" s="691"/>
      <c r="JNY4752" s="689"/>
      <c r="JNZ4752" s="691"/>
      <c r="JOA4752" s="689"/>
      <c r="JOB4752" s="691"/>
      <c r="JOC4752" s="689"/>
      <c r="JOD4752" s="691"/>
      <c r="JOE4752" s="689"/>
      <c r="JOF4752" s="691"/>
      <c r="JOG4752" s="689"/>
      <c r="JOH4752" s="691"/>
      <c r="JOI4752" s="689"/>
      <c r="JOJ4752" s="691"/>
      <c r="JOK4752" s="689"/>
      <c r="JOL4752" s="691"/>
      <c r="JOM4752" s="689"/>
      <c r="JON4752" s="691"/>
      <c r="JOO4752" s="689"/>
      <c r="JOP4752" s="691"/>
      <c r="JOQ4752" s="689"/>
      <c r="JOR4752" s="691"/>
      <c r="JOS4752" s="689"/>
      <c r="JOT4752" s="691"/>
      <c r="JOU4752" s="689"/>
      <c r="JOV4752" s="691"/>
      <c r="JOW4752" s="689"/>
      <c r="JOX4752" s="691"/>
      <c r="JOY4752" s="689"/>
      <c r="JOZ4752" s="691"/>
      <c r="JPA4752" s="689"/>
      <c r="JPB4752" s="691"/>
      <c r="JPC4752" s="689"/>
      <c r="JPD4752" s="691"/>
      <c r="JPE4752" s="689"/>
      <c r="JPF4752" s="691"/>
      <c r="JPG4752" s="689"/>
      <c r="JPH4752" s="691"/>
      <c r="JPI4752" s="689"/>
      <c r="JPJ4752" s="691"/>
      <c r="JPK4752" s="689"/>
      <c r="JPL4752" s="691"/>
      <c r="JPM4752" s="689"/>
      <c r="JPN4752" s="691"/>
      <c r="JPO4752" s="689"/>
      <c r="JPP4752" s="691"/>
      <c r="JPQ4752" s="689"/>
      <c r="JPR4752" s="691"/>
      <c r="JPS4752" s="689"/>
      <c r="JPT4752" s="691"/>
      <c r="JPU4752" s="689"/>
      <c r="JPV4752" s="691"/>
      <c r="JPW4752" s="689"/>
      <c r="JPX4752" s="691"/>
      <c r="JPY4752" s="689"/>
      <c r="JPZ4752" s="691"/>
      <c r="JQA4752" s="689"/>
      <c r="JQB4752" s="691"/>
      <c r="JQC4752" s="689"/>
      <c r="JQD4752" s="691"/>
      <c r="JQE4752" s="689"/>
      <c r="JQF4752" s="691"/>
      <c r="JQG4752" s="689"/>
      <c r="JQH4752" s="691"/>
      <c r="JQI4752" s="689"/>
      <c r="JQJ4752" s="691"/>
      <c r="JQK4752" s="689"/>
      <c r="JQL4752" s="691"/>
      <c r="JQM4752" s="689"/>
      <c r="JQN4752" s="691"/>
      <c r="JQO4752" s="689"/>
      <c r="JQP4752" s="691"/>
      <c r="JQQ4752" s="689"/>
      <c r="JQR4752" s="691"/>
      <c r="JQS4752" s="689"/>
      <c r="JQT4752" s="691"/>
      <c r="JQU4752" s="689"/>
      <c r="JQV4752" s="691"/>
      <c r="JQW4752" s="689"/>
      <c r="JQX4752" s="691"/>
      <c r="JQY4752" s="689"/>
      <c r="JQZ4752" s="691"/>
      <c r="JRA4752" s="689"/>
      <c r="JRB4752" s="691"/>
      <c r="JRC4752" s="689"/>
      <c r="JRD4752" s="691"/>
      <c r="JRE4752" s="689"/>
      <c r="JRF4752" s="691"/>
      <c r="JRG4752" s="689"/>
      <c r="JRH4752" s="691"/>
      <c r="JRI4752" s="689"/>
      <c r="JRJ4752" s="691"/>
      <c r="JRK4752" s="689"/>
      <c r="JRL4752" s="691"/>
      <c r="JRM4752" s="689"/>
      <c r="JRN4752" s="691"/>
      <c r="JRO4752" s="689"/>
      <c r="JRP4752" s="691"/>
      <c r="JRQ4752" s="689"/>
      <c r="JRR4752" s="691"/>
      <c r="JRS4752" s="689"/>
      <c r="JRT4752" s="691"/>
      <c r="JRU4752" s="689"/>
      <c r="JRV4752" s="691"/>
      <c r="JRW4752" s="689"/>
      <c r="JRX4752" s="691"/>
      <c r="JRY4752" s="689"/>
      <c r="JRZ4752" s="691"/>
      <c r="JSA4752" s="689"/>
      <c r="JSB4752" s="691"/>
      <c r="JSC4752" s="689"/>
      <c r="JSD4752" s="691"/>
      <c r="JSE4752" s="689"/>
      <c r="JSF4752" s="691"/>
      <c r="JSG4752" s="689"/>
      <c r="JSH4752" s="691"/>
      <c r="JSI4752" s="689"/>
      <c r="JSJ4752" s="691"/>
      <c r="JSK4752" s="689"/>
      <c r="JSL4752" s="691"/>
      <c r="JSM4752" s="689"/>
      <c r="JSN4752" s="691"/>
      <c r="JSO4752" s="689"/>
      <c r="JSP4752" s="691"/>
      <c r="JSQ4752" s="689"/>
      <c r="JSR4752" s="691"/>
      <c r="JSS4752" s="689"/>
      <c r="JST4752" s="691"/>
      <c r="JSU4752" s="689"/>
      <c r="JSV4752" s="691"/>
      <c r="JSW4752" s="689"/>
      <c r="JSX4752" s="691"/>
      <c r="JSY4752" s="689"/>
      <c r="JSZ4752" s="691"/>
      <c r="JTA4752" s="689"/>
      <c r="JTB4752" s="691"/>
      <c r="JTC4752" s="689"/>
      <c r="JTD4752" s="691"/>
      <c r="JTE4752" s="689"/>
      <c r="JTF4752" s="691"/>
      <c r="JTG4752" s="689"/>
      <c r="JTH4752" s="691"/>
      <c r="JTI4752" s="689"/>
      <c r="JTJ4752" s="691"/>
      <c r="JTK4752" s="689"/>
      <c r="JTL4752" s="691"/>
      <c r="JTM4752" s="689"/>
      <c r="JTN4752" s="691"/>
      <c r="JTO4752" s="689"/>
      <c r="JTP4752" s="691"/>
      <c r="JTQ4752" s="689"/>
      <c r="JTR4752" s="691"/>
      <c r="JTS4752" s="689"/>
      <c r="JTT4752" s="691"/>
      <c r="JTU4752" s="689"/>
      <c r="JTV4752" s="691"/>
      <c r="JTW4752" s="689"/>
      <c r="JTX4752" s="691"/>
      <c r="JTY4752" s="689"/>
      <c r="JTZ4752" s="691"/>
      <c r="JUA4752" s="689"/>
      <c r="JUB4752" s="691"/>
      <c r="JUC4752" s="689"/>
      <c r="JUD4752" s="691"/>
      <c r="JUE4752" s="689"/>
      <c r="JUF4752" s="691"/>
      <c r="JUG4752" s="689"/>
      <c r="JUH4752" s="691"/>
      <c r="JUI4752" s="689"/>
      <c r="JUJ4752" s="691"/>
      <c r="JUK4752" s="689"/>
      <c r="JUL4752" s="691"/>
      <c r="JUM4752" s="689"/>
      <c r="JUN4752" s="691"/>
      <c r="JUO4752" s="689"/>
      <c r="JUP4752" s="691"/>
      <c r="JUQ4752" s="689"/>
      <c r="JUR4752" s="691"/>
      <c r="JUS4752" s="689"/>
      <c r="JUT4752" s="691"/>
      <c r="JUU4752" s="689"/>
      <c r="JUV4752" s="691"/>
      <c r="JUW4752" s="689"/>
      <c r="JUX4752" s="691"/>
      <c r="JUY4752" s="689"/>
      <c r="JUZ4752" s="691"/>
      <c r="JVA4752" s="689"/>
      <c r="JVB4752" s="691"/>
      <c r="JVC4752" s="689"/>
      <c r="JVD4752" s="691"/>
      <c r="JVE4752" s="689"/>
      <c r="JVF4752" s="691"/>
      <c r="JVG4752" s="689"/>
      <c r="JVH4752" s="691"/>
      <c r="JVI4752" s="689"/>
      <c r="JVJ4752" s="691"/>
      <c r="JVK4752" s="689"/>
      <c r="JVL4752" s="691"/>
      <c r="JVM4752" s="689"/>
      <c r="JVN4752" s="691"/>
      <c r="JVO4752" s="689"/>
      <c r="JVP4752" s="691"/>
      <c r="JVQ4752" s="689"/>
      <c r="JVR4752" s="691"/>
      <c r="JVS4752" s="689"/>
      <c r="JVT4752" s="691"/>
      <c r="JVU4752" s="689"/>
      <c r="JVV4752" s="691"/>
      <c r="JVW4752" s="689"/>
      <c r="JVX4752" s="691"/>
      <c r="JVY4752" s="689"/>
      <c r="JVZ4752" s="691"/>
      <c r="JWA4752" s="689"/>
      <c r="JWB4752" s="691"/>
      <c r="JWC4752" s="689"/>
      <c r="JWD4752" s="691"/>
      <c r="JWE4752" s="689"/>
      <c r="JWF4752" s="691"/>
      <c r="JWG4752" s="689"/>
      <c r="JWH4752" s="691"/>
      <c r="JWI4752" s="689"/>
      <c r="JWJ4752" s="691"/>
      <c r="JWK4752" s="689"/>
      <c r="JWL4752" s="691"/>
      <c r="JWM4752" s="689"/>
      <c r="JWN4752" s="691"/>
      <c r="JWO4752" s="689"/>
      <c r="JWP4752" s="691"/>
      <c r="JWQ4752" s="689"/>
      <c r="JWR4752" s="691"/>
      <c r="JWS4752" s="689"/>
      <c r="JWT4752" s="691"/>
      <c r="JWU4752" s="689"/>
      <c r="JWV4752" s="691"/>
      <c r="JWW4752" s="689"/>
      <c r="JWX4752" s="691"/>
      <c r="JWY4752" s="689"/>
      <c r="JWZ4752" s="691"/>
      <c r="JXA4752" s="689"/>
      <c r="JXB4752" s="691"/>
      <c r="JXC4752" s="689"/>
      <c r="JXD4752" s="691"/>
      <c r="JXE4752" s="689"/>
      <c r="JXF4752" s="691"/>
      <c r="JXG4752" s="689"/>
      <c r="JXH4752" s="691"/>
      <c r="JXI4752" s="689"/>
      <c r="JXJ4752" s="691"/>
      <c r="JXK4752" s="689"/>
      <c r="JXL4752" s="691"/>
      <c r="JXM4752" s="689"/>
      <c r="JXN4752" s="691"/>
      <c r="JXO4752" s="689"/>
      <c r="JXP4752" s="691"/>
      <c r="JXQ4752" s="689"/>
      <c r="JXR4752" s="691"/>
      <c r="JXS4752" s="689"/>
      <c r="JXT4752" s="691"/>
      <c r="JXU4752" s="689"/>
      <c r="JXV4752" s="691"/>
      <c r="JXW4752" s="689"/>
      <c r="JXX4752" s="691"/>
      <c r="JXY4752" s="689"/>
      <c r="JXZ4752" s="691"/>
      <c r="JYA4752" s="689"/>
      <c r="JYB4752" s="691"/>
      <c r="JYC4752" s="689"/>
      <c r="JYD4752" s="691"/>
      <c r="JYE4752" s="689"/>
      <c r="JYF4752" s="691"/>
      <c r="JYG4752" s="689"/>
      <c r="JYH4752" s="691"/>
      <c r="JYI4752" s="689"/>
      <c r="JYJ4752" s="691"/>
      <c r="JYK4752" s="689"/>
      <c r="JYL4752" s="691"/>
      <c r="JYM4752" s="689"/>
      <c r="JYN4752" s="691"/>
      <c r="JYO4752" s="689"/>
      <c r="JYP4752" s="691"/>
      <c r="JYQ4752" s="689"/>
      <c r="JYR4752" s="691"/>
      <c r="JYS4752" s="689"/>
      <c r="JYT4752" s="691"/>
      <c r="JYU4752" s="689"/>
      <c r="JYV4752" s="691"/>
      <c r="JYW4752" s="689"/>
      <c r="JYX4752" s="691"/>
      <c r="JYY4752" s="689"/>
      <c r="JYZ4752" s="691"/>
      <c r="JZA4752" s="689"/>
      <c r="JZB4752" s="691"/>
      <c r="JZC4752" s="689"/>
      <c r="JZD4752" s="691"/>
      <c r="JZE4752" s="689"/>
      <c r="JZF4752" s="691"/>
      <c r="JZG4752" s="689"/>
      <c r="JZH4752" s="691"/>
      <c r="JZI4752" s="689"/>
      <c r="JZJ4752" s="691"/>
      <c r="JZK4752" s="689"/>
      <c r="JZL4752" s="691"/>
      <c r="JZM4752" s="689"/>
      <c r="JZN4752" s="691"/>
      <c r="JZO4752" s="689"/>
      <c r="JZP4752" s="691"/>
      <c r="JZQ4752" s="689"/>
      <c r="JZR4752" s="691"/>
      <c r="JZS4752" s="689"/>
      <c r="JZT4752" s="691"/>
      <c r="JZU4752" s="689"/>
      <c r="JZV4752" s="691"/>
      <c r="JZW4752" s="689"/>
      <c r="JZX4752" s="691"/>
      <c r="JZY4752" s="689"/>
      <c r="JZZ4752" s="691"/>
      <c r="KAA4752" s="689"/>
      <c r="KAB4752" s="691"/>
      <c r="KAC4752" s="689"/>
      <c r="KAD4752" s="691"/>
      <c r="KAE4752" s="689"/>
      <c r="KAF4752" s="691"/>
      <c r="KAG4752" s="689"/>
      <c r="KAH4752" s="691"/>
      <c r="KAI4752" s="689"/>
      <c r="KAJ4752" s="691"/>
      <c r="KAK4752" s="689"/>
      <c r="KAL4752" s="691"/>
      <c r="KAM4752" s="689"/>
      <c r="KAN4752" s="691"/>
      <c r="KAO4752" s="689"/>
      <c r="KAP4752" s="691"/>
      <c r="KAQ4752" s="689"/>
      <c r="KAR4752" s="691"/>
      <c r="KAS4752" s="689"/>
      <c r="KAT4752" s="691"/>
      <c r="KAU4752" s="689"/>
      <c r="KAV4752" s="691"/>
      <c r="KAW4752" s="689"/>
      <c r="KAX4752" s="691"/>
      <c r="KAY4752" s="689"/>
      <c r="KAZ4752" s="691"/>
      <c r="KBA4752" s="689"/>
      <c r="KBB4752" s="691"/>
      <c r="KBC4752" s="689"/>
      <c r="KBD4752" s="691"/>
      <c r="KBE4752" s="689"/>
      <c r="KBF4752" s="691"/>
      <c r="KBG4752" s="689"/>
      <c r="KBH4752" s="691"/>
      <c r="KBI4752" s="689"/>
      <c r="KBJ4752" s="691"/>
      <c r="KBK4752" s="689"/>
      <c r="KBL4752" s="691"/>
      <c r="KBM4752" s="689"/>
      <c r="KBN4752" s="691"/>
      <c r="KBO4752" s="689"/>
      <c r="KBP4752" s="691"/>
      <c r="KBQ4752" s="689"/>
      <c r="KBR4752" s="691"/>
      <c r="KBS4752" s="689"/>
      <c r="KBT4752" s="691"/>
      <c r="KBU4752" s="689"/>
      <c r="KBV4752" s="691"/>
      <c r="KBW4752" s="689"/>
      <c r="KBX4752" s="691"/>
      <c r="KBY4752" s="689"/>
      <c r="KBZ4752" s="691"/>
      <c r="KCA4752" s="689"/>
      <c r="KCB4752" s="691"/>
      <c r="KCC4752" s="689"/>
      <c r="KCD4752" s="691"/>
      <c r="KCE4752" s="689"/>
      <c r="KCF4752" s="691"/>
      <c r="KCG4752" s="689"/>
      <c r="KCH4752" s="691"/>
      <c r="KCI4752" s="689"/>
      <c r="KCJ4752" s="691"/>
      <c r="KCK4752" s="689"/>
      <c r="KCL4752" s="691"/>
      <c r="KCM4752" s="689"/>
      <c r="KCN4752" s="691"/>
      <c r="KCO4752" s="689"/>
      <c r="KCP4752" s="691"/>
      <c r="KCQ4752" s="689"/>
      <c r="KCR4752" s="691"/>
      <c r="KCS4752" s="689"/>
      <c r="KCT4752" s="691"/>
      <c r="KCU4752" s="689"/>
      <c r="KCV4752" s="691"/>
      <c r="KCW4752" s="689"/>
      <c r="KCX4752" s="691"/>
      <c r="KCY4752" s="689"/>
      <c r="KCZ4752" s="691"/>
      <c r="KDA4752" s="689"/>
      <c r="KDB4752" s="691"/>
      <c r="KDC4752" s="689"/>
      <c r="KDD4752" s="691"/>
      <c r="KDE4752" s="689"/>
      <c r="KDF4752" s="691"/>
      <c r="KDG4752" s="689"/>
      <c r="KDH4752" s="691"/>
      <c r="KDI4752" s="689"/>
      <c r="KDJ4752" s="691"/>
      <c r="KDK4752" s="689"/>
      <c r="KDL4752" s="691"/>
      <c r="KDM4752" s="689"/>
      <c r="KDN4752" s="691"/>
      <c r="KDO4752" s="689"/>
      <c r="KDP4752" s="691"/>
      <c r="KDQ4752" s="689"/>
      <c r="KDR4752" s="691"/>
      <c r="KDS4752" s="689"/>
      <c r="KDT4752" s="691"/>
      <c r="KDU4752" s="689"/>
      <c r="KDV4752" s="691"/>
      <c r="KDW4752" s="689"/>
      <c r="KDX4752" s="691"/>
      <c r="KDY4752" s="689"/>
      <c r="KDZ4752" s="691"/>
      <c r="KEA4752" s="689"/>
      <c r="KEB4752" s="691"/>
      <c r="KEC4752" s="689"/>
      <c r="KED4752" s="691"/>
      <c r="KEE4752" s="689"/>
      <c r="KEF4752" s="691"/>
      <c r="KEG4752" s="689"/>
      <c r="KEH4752" s="691"/>
      <c r="KEI4752" s="689"/>
      <c r="KEJ4752" s="691"/>
      <c r="KEK4752" s="689"/>
      <c r="KEL4752" s="691"/>
      <c r="KEM4752" s="689"/>
      <c r="KEN4752" s="691"/>
      <c r="KEO4752" s="689"/>
      <c r="KEP4752" s="691"/>
      <c r="KEQ4752" s="689"/>
      <c r="KER4752" s="691"/>
      <c r="KES4752" s="689"/>
      <c r="KET4752" s="691"/>
      <c r="KEU4752" s="689"/>
      <c r="KEV4752" s="691"/>
      <c r="KEW4752" s="689"/>
      <c r="KEX4752" s="691"/>
      <c r="KEY4752" s="689"/>
      <c r="KEZ4752" s="691"/>
      <c r="KFA4752" s="689"/>
      <c r="KFB4752" s="691"/>
      <c r="KFC4752" s="689"/>
      <c r="KFD4752" s="691"/>
      <c r="KFE4752" s="689"/>
      <c r="KFF4752" s="691"/>
      <c r="KFG4752" s="689"/>
      <c r="KFH4752" s="691"/>
      <c r="KFI4752" s="689"/>
      <c r="KFJ4752" s="691"/>
      <c r="KFK4752" s="689"/>
      <c r="KFL4752" s="691"/>
      <c r="KFM4752" s="689"/>
      <c r="KFN4752" s="691"/>
      <c r="KFO4752" s="689"/>
      <c r="KFP4752" s="691"/>
      <c r="KFQ4752" s="689"/>
      <c r="KFR4752" s="691"/>
      <c r="KFS4752" s="689"/>
      <c r="KFT4752" s="691"/>
      <c r="KFU4752" s="689"/>
      <c r="KFV4752" s="691"/>
      <c r="KFW4752" s="689"/>
      <c r="KFX4752" s="691"/>
      <c r="KFY4752" s="689"/>
      <c r="KFZ4752" s="691"/>
      <c r="KGA4752" s="689"/>
      <c r="KGB4752" s="691"/>
      <c r="KGC4752" s="689"/>
      <c r="KGD4752" s="691"/>
      <c r="KGE4752" s="689"/>
      <c r="KGF4752" s="691"/>
      <c r="KGG4752" s="689"/>
      <c r="KGH4752" s="691"/>
      <c r="KGI4752" s="689"/>
      <c r="KGJ4752" s="691"/>
      <c r="KGK4752" s="689"/>
      <c r="KGL4752" s="691"/>
      <c r="KGM4752" s="689"/>
      <c r="KGN4752" s="691"/>
      <c r="KGO4752" s="689"/>
      <c r="KGP4752" s="691"/>
      <c r="KGQ4752" s="689"/>
      <c r="KGR4752" s="691"/>
      <c r="KGS4752" s="689"/>
      <c r="KGT4752" s="691"/>
      <c r="KGU4752" s="689"/>
      <c r="KGV4752" s="691"/>
      <c r="KGW4752" s="689"/>
      <c r="KGX4752" s="691"/>
      <c r="KGY4752" s="689"/>
      <c r="KGZ4752" s="691"/>
      <c r="KHA4752" s="689"/>
      <c r="KHB4752" s="691"/>
      <c r="KHC4752" s="689"/>
      <c r="KHD4752" s="691"/>
      <c r="KHE4752" s="689"/>
      <c r="KHF4752" s="691"/>
      <c r="KHG4752" s="689"/>
      <c r="KHH4752" s="691"/>
      <c r="KHI4752" s="689"/>
      <c r="KHJ4752" s="691"/>
      <c r="KHK4752" s="689"/>
      <c r="KHL4752" s="691"/>
      <c r="KHM4752" s="689"/>
      <c r="KHN4752" s="691"/>
      <c r="KHO4752" s="689"/>
      <c r="KHP4752" s="691"/>
      <c r="KHQ4752" s="689"/>
      <c r="KHR4752" s="691"/>
      <c r="KHS4752" s="689"/>
      <c r="KHT4752" s="691"/>
      <c r="KHU4752" s="689"/>
      <c r="KHV4752" s="691"/>
      <c r="KHW4752" s="689"/>
      <c r="KHX4752" s="691"/>
      <c r="KHY4752" s="689"/>
      <c r="KHZ4752" s="691"/>
      <c r="KIA4752" s="689"/>
      <c r="KIB4752" s="691"/>
      <c r="KIC4752" s="689"/>
      <c r="KID4752" s="691"/>
      <c r="KIE4752" s="689"/>
      <c r="KIF4752" s="691"/>
      <c r="KIG4752" s="689"/>
      <c r="KIH4752" s="691"/>
      <c r="KII4752" s="689"/>
      <c r="KIJ4752" s="691"/>
      <c r="KIK4752" s="689"/>
      <c r="KIL4752" s="691"/>
      <c r="KIM4752" s="689"/>
      <c r="KIN4752" s="691"/>
      <c r="KIO4752" s="689"/>
      <c r="KIP4752" s="691"/>
      <c r="KIQ4752" s="689"/>
      <c r="KIR4752" s="691"/>
      <c r="KIS4752" s="689"/>
      <c r="KIT4752" s="691"/>
      <c r="KIU4752" s="689"/>
      <c r="KIV4752" s="691"/>
      <c r="KIW4752" s="689"/>
      <c r="KIX4752" s="691"/>
      <c r="KIY4752" s="689"/>
      <c r="KIZ4752" s="691"/>
      <c r="KJA4752" s="689"/>
      <c r="KJB4752" s="691"/>
      <c r="KJC4752" s="689"/>
      <c r="KJD4752" s="691"/>
      <c r="KJE4752" s="689"/>
      <c r="KJF4752" s="691"/>
      <c r="KJG4752" s="689"/>
      <c r="KJH4752" s="691"/>
      <c r="KJI4752" s="689"/>
      <c r="KJJ4752" s="691"/>
      <c r="KJK4752" s="689"/>
      <c r="KJL4752" s="691"/>
      <c r="KJM4752" s="689"/>
      <c r="KJN4752" s="691"/>
      <c r="KJO4752" s="689"/>
      <c r="KJP4752" s="691"/>
      <c r="KJQ4752" s="689"/>
      <c r="KJR4752" s="691"/>
      <c r="KJS4752" s="689"/>
      <c r="KJT4752" s="691"/>
      <c r="KJU4752" s="689"/>
      <c r="KJV4752" s="691"/>
      <c r="KJW4752" s="689"/>
      <c r="KJX4752" s="691"/>
      <c r="KJY4752" s="689"/>
      <c r="KJZ4752" s="691"/>
      <c r="KKA4752" s="689"/>
      <c r="KKB4752" s="691"/>
      <c r="KKC4752" s="689"/>
      <c r="KKD4752" s="691"/>
      <c r="KKE4752" s="689"/>
      <c r="KKF4752" s="691"/>
      <c r="KKG4752" s="689"/>
      <c r="KKH4752" s="691"/>
      <c r="KKI4752" s="689"/>
      <c r="KKJ4752" s="691"/>
      <c r="KKK4752" s="689"/>
      <c r="KKL4752" s="691"/>
      <c r="KKM4752" s="689"/>
      <c r="KKN4752" s="691"/>
      <c r="KKO4752" s="689"/>
      <c r="KKP4752" s="691"/>
      <c r="KKQ4752" s="689"/>
      <c r="KKR4752" s="691"/>
      <c r="KKS4752" s="689"/>
      <c r="KKT4752" s="691"/>
      <c r="KKU4752" s="689"/>
      <c r="KKV4752" s="691"/>
      <c r="KKW4752" s="689"/>
      <c r="KKX4752" s="691"/>
      <c r="KKY4752" s="689"/>
      <c r="KKZ4752" s="691"/>
      <c r="KLA4752" s="689"/>
      <c r="KLB4752" s="691"/>
      <c r="KLC4752" s="689"/>
      <c r="KLD4752" s="691"/>
      <c r="KLE4752" s="689"/>
      <c r="KLF4752" s="691"/>
      <c r="KLG4752" s="689"/>
      <c r="KLH4752" s="691"/>
      <c r="KLI4752" s="689"/>
      <c r="KLJ4752" s="691"/>
      <c r="KLK4752" s="689"/>
      <c r="KLL4752" s="691"/>
      <c r="KLM4752" s="689"/>
      <c r="KLN4752" s="691"/>
      <c r="KLO4752" s="689"/>
      <c r="KLP4752" s="691"/>
      <c r="KLQ4752" s="689"/>
      <c r="KLR4752" s="691"/>
      <c r="KLS4752" s="689"/>
      <c r="KLT4752" s="691"/>
      <c r="KLU4752" s="689"/>
      <c r="KLV4752" s="691"/>
      <c r="KLW4752" s="689"/>
      <c r="KLX4752" s="691"/>
      <c r="KLY4752" s="689"/>
      <c r="KLZ4752" s="691"/>
      <c r="KMA4752" s="689"/>
      <c r="KMB4752" s="691"/>
      <c r="KMC4752" s="689"/>
      <c r="KMD4752" s="691"/>
      <c r="KME4752" s="689"/>
      <c r="KMF4752" s="691"/>
      <c r="KMG4752" s="689"/>
      <c r="KMH4752" s="691"/>
      <c r="KMI4752" s="689"/>
      <c r="KMJ4752" s="691"/>
      <c r="KMK4752" s="689"/>
      <c r="KML4752" s="691"/>
      <c r="KMM4752" s="689"/>
      <c r="KMN4752" s="691"/>
      <c r="KMO4752" s="689"/>
      <c r="KMP4752" s="691"/>
      <c r="KMQ4752" s="689"/>
      <c r="KMR4752" s="691"/>
      <c r="KMS4752" s="689"/>
      <c r="KMT4752" s="691"/>
      <c r="KMU4752" s="689"/>
      <c r="KMV4752" s="691"/>
      <c r="KMW4752" s="689"/>
      <c r="KMX4752" s="691"/>
      <c r="KMY4752" s="689"/>
      <c r="KMZ4752" s="691"/>
      <c r="KNA4752" s="689"/>
      <c r="KNB4752" s="691"/>
      <c r="KNC4752" s="689"/>
      <c r="KND4752" s="691"/>
      <c r="KNE4752" s="689"/>
      <c r="KNF4752" s="691"/>
      <c r="KNG4752" s="689"/>
      <c r="KNH4752" s="691"/>
      <c r="KNI4752" s="689"/>
      <c r="KNJ4752" s="691"/>
      <c r="KNK4752" s="689"/>
      <c r="KNL4752" s="691"/>
      <c r="KNM4752" s="689"/>
      <c r="KNN4752" s="691"/>
      <c r="KNO4752" s="689"/>
      <c r="KNP4752" s="691"/>
      <c r="KNQ4752" s="689"/>
      <c r="KNR4752" s="691"/>
      <c r="KNS4752" s="689"/>
      <c r="KNT4752" s="691"/>
      <c r="KNU4752" s="689"/>
      <c r="KNV4752" s="691"/>
      <c r="KNW4752" s="689"/>
      <c r="KNX4752" s="691"/>
      <c r="KNY4752" s="689"/>
      <c r="KNZ4752" s="691"/>
      <c r="KOA4752" s="689"/>
      <c r="KOB4752" s="691"/>
      <c r="KOC4752" s="689"/>
      <c r="KOD4752" s="691"/>
      <c r="KOE4752" s="689"/>
      <c r="KOF4752" s="691"/>
      <c r="KOG4752" s="689"/>
      <c r="KOH4752" s="691"/>
      <c r="KOI4752" s="689"/>
      <c r="KOJ4752" s="691"/>
      <c r="KOK4752" s="689"/>
      <c r="KOL4752" s="691"/>
      <c r="KOM4752" s="689"/>
      <c r="KON4752" s="691"/>
      <c r="KOO4752" s="689"/>
      <c r="KOP4752" s="691"/>
      <c r="KOQ4752" s="689"/>
      <c r="KOR4752" s="691"/>
      <c r="KOS4752" s="689"/>
      <c r="KOT4752" s="691"/>
      <c r="KOU4752" s="689"/>
      <c r="KOV4752" s="691"/>
      <c r="KOW4752" s="689"/>
      <c r="KOX4752" s="691"/>
      <c r="KOY4752" s="689"/>
      <c r="KOZ4752" s="691"/>
      <c r="KPA4752" s="689"/>
      <c r="KPB4752" s="691"/>
      <c r="KPC4752" s="689"/>
      <c r="KPD4752" s="691"/>
      <c r="KPE4752" s="689"/>
      <c r="KPF4752" s="691"/>
      <c r="KPG4752" s="689"/>
      <c r="KPH4752" s="691"/>
      <c r="KPI4752" s="689"/>
      <c r="KPJ4752" s="691"/>
      <c r="KPK4752" s="689"/>
      <c r="KPL4752" s="691"/>
      <c r="KPM4752" s="689"/>
      <c r="KPN4752" s="691"/>
      <c r="KPO4752" s="689"/>
      <c r="KPP4752" s="691"/>
      <c r="KPQ4752" s="689"/>
      <c r="KPR4752" s="691"/>
      <c r="KPS4752" s="689"/>
      <c r="KPT4752" s="691"/>
      <c r="KPU4752" s="689"/>
      <c r="KPV4752" s="691"/>
      <c r="KPW4752" s="689"/>
      <c r="KPX4752" s="691"/>
      <c r="KPY4752" s="689"/>
      <c r="KPZ4752" s="691"/>
      <c r="KQA4752" s="689"/>
      <c r="KQB4752" s="691"/>
      <c r="KQC4752" s="689"/>
      <c r="KQD4752" s="691"/>
      <c r="KQE4752" s="689"/>
      <c r="KQF4752" s="691"/>
      <c r="KQG4752" s="689"/>
      <c r="KQH4752" s="691"/>
      <c r="KQI4752" s="689"/>
      <c r="KQJ4752" s="691"/>
      <c r="KQK4752" s="689"/>
      <c r="KQL4752" s="691"/>
      <c r="KQM4752" s="689"/>
      <c r="KQN4752" s="691"/>
      <c r="KQO4752" s="689"/>
      <c r="KQP4752" s="691"/>
      <c r="KQQ4752" s="689"/>
      <c r="KQR4752" s="691"/>
      <c r="KQS4752" s="689"/>
      <c r="KQT4752" s="691"/>
      <c r="KQU4752" s="689"/>
      <c r="KQV4752" s="691"/>
      <c r="KQW4752" s="689"/>
      <c r="KQX4752" s="691"/>
      <c r="KQY4752" s="689"/>
      <c r="KQZ4752" s="691"/>
      <c r="KRA4752" s="689"/>
      <c r="KRB4752" s="691"/>
      <c r="KRC4752" s="689"/>
      <c r="KRD4752" s="691"/>
      <c r="KRE4752" s="689"/>
      <c r="KRF4752" s="691"/>
      <c r="KRG4752" s="689"/>
      <c r="KRH4752" s="691"/>
      <c r="KRI4752" s="689"/>
      <c r="KRJ4752" s="691"/>
      <c r="KRK4752" s="689"/>
      <c r="KRL4752" s="691"/>
      <c r="KRM4752" s="689"/>
      <c r="KRN4752" s="691"/>
      <c r="KRO4752" s="689"/>
      <c r="KRP4752" s="691"/>
      <c r="KRQ4752" s="689"/>
      <c r="KRR4752" s="691"/>
      <c r="KRS4752" s="689"/>
      <c r="KRT4752" s="691"/>
      <c r="KRU4752" s="689"/>
      <c r="KRV4752" s="691"/>
      <c r="KRW4752" s="689"/>
      <c r="KRX4752" s="691"/>
      <c r="KRY4752" s="689"/>
      <c r="KRZ4752" s="691"/>
      <c r="KSA4752" s="689"/>
      <c r="KSB4752" s="691"/>
      <c r="KSC4752" s="689"/>
      <c r="KSD4752" s="691"/>
      <c r="KSE4752" s="689"/>
      <c r="KSF4752" s="691"/>
      <c r="KSG4752" s="689"/>
      <c r="KSH4752" s="691"/>
      <c r="KSI4752" s="689"/>
      <c r="KSJ4752" s="691"/>
      <c r="KSK4752" s="689"/>
      <c r="KSL4752" s="691"/>
      <c r="KSM4752" s="689"/>
      <c r="KSN4752" s="691"/>
      <c r="KSO4752" s="689"/>
      <c r="KSP4752" s="691"/>
      <c r="KSQ4752" s="689"/>
      <c r="KSR4752" s="691"/>
      <c r="KSS4752" s="689"/>
      <c r="KST4752" s="691"/>
      <c r="KSU4752" s="689"/>
      <c r="KSV4752" s="691"/>
      <c r="KSW4752" s="689"/>
      <c r="KSX4752" s="691"/>
      <c r="KSY4752" s="689"/>
      <c r="KSZ4752" s="691"/>
      <c r="KTA4752" s="689"/>
      <c r="KTB4752" s="691"/>
      <c r="KTC4752" s="689"/>
      <c r="KTD4752" s="691"/>
      <c r="KTE4752" s="689"/>
      <c r="KTF4752" s="691"/>
      <c r="KTG4752" s="689"/>
      <c r="KTH4752" s="691"/>
      <c r="KTI4752" s="689"/>
      <c r="KTJ4752" s="691"/>
      <c r="KTK4752" s="689"/>
      <c r="KTL4752" s="691"/>
      <c r="KTM4752" s="689"/>
      <c r="KTN4752" s="691"/>
      <c r="KTO4752" s="689"/>
      <c r="KTP4752" s="691"/>
      <c r="KTQ4752" s="689"/>
      <c r="KTR4752" s="691"/>
      <c r="KTS4752" s="689"/>
      <c r="KTT4752" s="691"/>
      <c r="KTU4752" s="689"/>
      <c r="KTV4752" s="691"/>
      <c r="KTW4752" s="689"/>
      <c r="KTX4752" s="691"/>
      <c r="KTY4752" s="689"/>
      <c r="KTZ4752" s="691"/>
      <c r="KUA4752" s="689"/>
      <c r="KUB4752" s="691"/>
      <c r="KUC4752" s="689"/>
      <c r="KUD4752" s="691"/>
      <c r="KUE4752" s="689"/>
      <c r="KUF4752" s="691"/>
      <c r="KUG4752" s="689"/>
      <c r="KUH4752" s="691"/>
      <c r="KUI4752" s="689"/>
      <c r="KUJ4752" s="691"/>
      <c r="KUK4752" s="689"/>
      <c r="KUL4752" s="691"/>
      <c r="KUM4752" s="689"/>
      <c r="KUN4752" s="691"/>
      <c r="KUO4752" s="689"/>
      <c r="KUP4752" s="691"/>
      <c r="KUQ4752" s="689"/>
      <c r="KUR4752" s="691"/>
      <c r="KUS4752" s="689"/>
      <c r="KUT4752" s="691"/>
      <c r="KUU4752" s="689"/>
      <c r="KUV4752" s="691"/>
      <c r="KUW4752" s="689"/>
      <c r="KUX4752" s="691"/>
      <c r="KUY4752" s="689"/>
      <c r="KUZ4752" s="691"/>
      <c r="KVA4752" s="689"/>
      <c r="KVB4752" s="691"/>
      <c r="KVC4752" s="689"/>
      <c r="KVD4752" s="691"/>
      <c r="KVE4752" s="689"/>
      <c r="KVF4752" s="691"/>
      <c r="KVG4752" s="689"/>
      <c r="KVH4752" s="691"/>
      <c r="KVI4752" s="689"/>
      <c r="KVJ4752" s="691"/>
      <c r="KVK4752" s="689"/>
      <c r="KVL4752" s="691"/>
      <c r="KVM4752" s="689"/>
      <c r="KVN4752" s="691"/>
      <c r="KVO4752" s="689"/>
      <c r="KVP4752" s="691"/>
      <c r="KVQ4752" s="689"/>
      <c r="KVR4752" s="691"/>
      <c r="KVS4752" s="689"/>
      <c r="KVT4752" s="691"/>
      <c r="KVU4752" s="689"/>
      <c r="KVV4752" s="691"/>
      <c r="KVW4752" s="689"/>
      <c r="KVX4752" s="691"/>
      <c r="KVY4752" s="689"/>
      <c r="KVZ4752" s="691"/>
      <c r="KWA4752" s="689"/>
      <c r="KWB4752" s="691"/>
      <c r="KWC4752" s="689"/>
      <c r="KWD4752" s="691"/>
      <c r="KWE4752" s="689"/>
      <c r="KWF4752" s="691"/>
      <c r="KWG4752" s="689"/>
      <c r="KWH4752" s="691"/>
      <c r="KWI4752" s="689"/>
      <c r="KWJ4752" s="691"/>
      <c r="KWK4752" s="689"/>
      <c r="KWL4752" s="691"/>
      <c r="KWM4752" s="689"/>
      <c r="KWN4752" s="691"/>
      <c r="KWO4752" s="689"/>
      <c r="KWP4752" s="691"/>
      <c r="KWQ4752" s="689"/>
      <c r="KWR4752" s="691"/>
      <c r="KWS4752" s="689"/>
      <c r="KWT4752" s="691"/>
      <c r="KWU4752" s="689"/>
      <c r="KWV4752" s="691"/>
      <c r="KWW4752" s="689"/>
      <c r="KWX4752" s="691"/>
      <c r="KWY4752" s="689"/>
      <c r="KWZ4752" s="691"/>
      <c r="KXA4752" s="689"/>
      <c r="KXB4752" s="691"/>
      <c r="KXC4752" s="689"/>
      <c r="KXD4752" s="691"/>
      <c r="KXE4752" s="689"/>
      <c r="KXF4752" s="691"/>
      <c r="KXG4752" s="689"/>
      <c r="KXH4752" s="691"/>
      <c r="KXI4752" s="689"/>
      <c r="KXJ4752" s="691"/>
      <c r="KXK4752" s="689"/>
      <c r="KXL4752" s="691"/>
      <c r="KXM4752" s="689"/>
      <c r="KXN4752" s="691"/>
      <c r="KXO4752" s="689"/>
      <c r="KXP4752" s="691"/>
      <c r="KXQ4752" s="689"/>
      <c r="KXR4752" s="691"/>
      <c r="KXS4752" s="689"/>
      <c r="KXT4752" s="691"/>
      <c r="KXU4752" s="689"/>
      <c r="KXV4752" s="691"/>
      <c r="KXW4752" s="689"/>
      <c r="KXX4752" s="691"/>
      <c r="KXY4752" s="689"/>
      <c r="KXZ4752" s="691"/>
      <c r="KYA4752" s="689"/>
      <c r="KYB4752" s="691"/>
      <c r="KYC4752" s="689"/>
      <c r="KYD4752" s="691"/>
      <c r="KYE4752" s="689"/>
      <c r="KYF4752" s="691"/>
      <c r="KYG4752" s="689"/>
      <c r="KYH4752" s="691"/>
      <c r="KYI4752" s="689"/>
      <c r="KYJ4752" s="691"/>
      <c r="KYK4752" s="689"/>
      <c r="KYL4752" s="691"/>
      <c r="KYM4752" s="689"/>
      <c r="KYN4752" s="691"/>
      <c r="KYO4752" s="689"/>
      <c r="KYP4752" s="691"/>
      <c r="KYQ4752" s="689"/>
      <c r="KYR4752" s="691"/>
      <c r="KYS4752" s="689"/>
      <c r="KYT4752" s="691"/>
      <c r="KYU4752" s="689"/>
      <c r="KYV4752" s="691"/>
      <c r="KYW4752" s="689"/>
      <c r="KYX4752" s="691"/>
      <c r="KYY4752" s="689"/>
      <c r="KYZ4752" s="691"/>
      <c r="KZA4752" s="689"/>
      <c r="KZB4752" s="691"/>
      <c r="KZC4752" s="689"/>
      <c r="KZD4752" s="691"/>
      <c r="KZE4752" s="689"/>
      <c r="KZF4752" s="691"/>
      <c r="KZG4752" s="689"/>
      <c r="KZH4752" s="691"/>
      <c r="KZI4752" s="689"/>
      <c r="KZJ4752" s="691"/>
      <c r="KZK4752" s="689"/>
      <c r="KZL4752" s="691"/>
      <c r="KZM4752" s="689"/>
      <c r="KZN4752" s="691"/>
      <c r="KZO4752" s="689"/>
      <c r="KZP4752" s="691"/>
      <c r="KZQ4752" s="689"/>
      <c r="KZR4752" s="691"/>
      <c r="KZS4752" s="689"/>
      <c r="KZT4752" s="691"/>
      <c r="KZU4752" s="689"/>
      <c r="KZV4752" s="691"/>
      <c r="KZW4752" s="689"/>
      <c r="KZX4752" s="691"/>
      <c r="KZY4752" s="689"/>
      <c r="KZZ4752" s="691"/>
      <c r="LAA4752" s="689"/>
      <c r="LAB4752" s="691"/>
      <c r="LAC4752" s="689"/>
      <c r="LAD4752" s="691"/>
      <c r="LAE4752" s="689"/>
      <c r="LAF4752" s="691"/>
      <c r="LAG4752" s="689"/>
      <c r="LAH4752" s="691"/>
      <c r="LAI4752" s="689"/>
      <c r="LAJ4752" s="691"/>
      <c r="LAK4752" s="689"/>
      <c r="LAL4752" s="691"/>
      <c r="LAM4752" s="689"/>
      <c r="LAN4752" s="691"/>
      <c r="LAO4752" s="689"/>
      <c r="LAP4752" s="691"/>
      <c r="LAQ4752" s="689"/>
      <c r="LAR4752" s="691"/>
      <c r="LAS4752" s="689"/>
      <c r="LAT4752" s="691"/>
      <c r="LAU4752" s="689"/>
      <c r="LAV4752" s="691"/>
      <c r="LAW4752" s="689"/>
      <c r="LAX4752" s="691"/>
      <c r="LAY4752" s="689"/>
      <c r="LAZ4752" s="691"/>
      <c r="LBA4752" s="689"/>
      <c r="LBB4752" s="691"/>
      <c r="LBC4752" s="689"/>
      <c r="LBD4752" s="691"/>
      <c r="LBE4752" s="689"/>
      <c r="LBF4752" s="691"/>
      <c r="LBG4752" s="689"/>
      <c r="LBH4752" s="691"/>
      <c r="LBI4752" s="689"/>
      <c r="LBJ4752" s="691"/>
      <c r="LBK4752" s="689"/>
      <c r="LBL4752" s="691"/>
      <c r="LBM4752" s="689"/>
      <c r="LBN4752" s="691"/>
      <c r="LBO4752" s="689"/>
      <c r="LBP4752" s="691"/>
      <c r="LBQ4752" s="689"/>
      <c r="LBR4752" s="691"/>
      <c r="LBS4752" s="689"/>
      <c r="LBT4752" s="691"/>
      <c r="LBU4752" s="689"/>
      <c r="LBV4752" s="691"/>
      <c r="LBW4752" s="689"/>
      <c r="LBX4752" s="691"/>
      <c r="LBY4752" s="689"/>
      <c r="LBZ4752" s="691"/>
      <c r="LCA4752" s="689"/>
      <c r="LCB4752" s="691"/>
      <c r="LCC4752" s="689"/>
      <c r="LCD4752" s="691"/>
      <c r="LCE4752" s="689"/>
      <c r="LCF4752" s="691"/>
      <c r="LCG4752" s="689"/>
      <c r="LCH4752" s="691"/>
      <c r="LCI4752" s="689"/>
      <c r="LCJ4752" s="691"/>
      <c r="LCK4752" s="689"/>
      <c r="LCL4752" s="691"/>
      <c r="LCM4752" s="689"/>
      <c r="LCN4752" s="691"/>
      <c r="LCO4752" s="689"/>
      <c r="LCP4752" s="691"/>
      <c r="LCQ4752" s="689"/>
      <c r="LCR4752" s="691"/>
      <c r="LCS4752" s="689"/>
      <c r="LCT4752" s="691"/>
      <c r="LCU4752" s="689"/>
      <c r="LCV4752" s="691"/>
      <c r="LCW4752" s="689"/>
      <c r="LCX4752" s="691"/>
      <c r="LCY4752" s="689"/>
      <c r="LCZ4752" s="691"/>
      <c r="LDA4752" s="689"/>
      <c r="LDB4752" s="691"/>
      <c r="LDC4752" s="689"/>
      <c r="LDD4752" s="691"/>
      <c r="LDE4752" s="689"/>
      <c r="LDF4752" s="691"/>
      <c r="LDG4752" s="689"/>
      <c r="LDH4752" s="691"/>
      <c r="LDI4752" s="689"/>
      <c r="LDJ4752" s="691"/>
      <c r="LDK4752" s="689"/>
      <c r="LDL4752" s="691"/>
      <c r="LDM4752" s="689"/>
      <c r="LDN4752" s="691"/>
      <c r="LDO4752" s="689"/>
      <c r="LDP4752" s="691"/>
      <c r="LDQ4752" s="689"/>
      <c r="LDR4752" s="691"/>
      <c r="LDS4752" s="689"/>
      <c r="LDT4752" s="691"/>
      <c r="LDU4752" s="689"/>
      <c r="LDV4752" s="691"/>
      <c r="LDW4752" s="689"/>
      <c r="LDX4752" s="691"/>
      <c r="LDY4752" s="689"/>
      <c r="LDZ4752" s="691"/>
      <c r="LEA4752" s="689"/>
      <c r="LEB4752" s="691"/>
      <c r="LEC4752" s="689"/>
      <c r="LED4752" s="691"/>
      <c r="LEE4752" s="689"/>
      <c r="LEF4752" s="691"/>
      <c r="LEG4752" s="689"/>
      <c r="LEH4752" s="691"/>
      <c r="LEI4752" s="689"/>
      <c r="LEJ4752" s="691"/>
      <c r="LEK4752" s="689"/>
      <c r="LEL4752" s="691"/>
      <c r="LEM4752" s="689"/>
      <c r="LEN4752" s="691"/>
      <c r="LEO4752" s="689"/>
      <c r="LEP4752" s="691"/>
      <c r="LEQ4752" s="689"/>
      <c r="LER4752" s="691"/>
      <c r="LES4752" s="689"/>
      <c r="LET4752" s="691"/>
      <c r="LEU4752" s="689"/>
      <c r="LEV4752" s="691"/>
      <c r="LEW4752" s="689"/>
      <c r="LEX4752" s="691"/>
      <c r="LEY4752" s="689"/>
      <c r="LEZ4752" s="691"/>
      <c r="LFA4752" s="689"/>
      <c r="LFB4752" s="691"/>
      <c r="LFC4752" s="689"/>
      <c r="LFD4752" s="691"/>
      <c r="LFE4752" s="689"/>
      <c r="LFF4752" s="691"/>
      <c r="LFG4752" s="689"/>
      <c r="LFH4752" s="691"/>
      <c r="LFI4752" s="689"/>
      <c r="LFJ4752" s="691"/>
      <c r="LFK4752" s="689"/>
      <c r="LFL4752" s="691"/>
      <c r="LFM4752" s="689"/>
      <c r="LFN4752" s="691"/>
      <c r="LFO4752" s="689"/>
      <c r="LFP4752" s="691"/>
      <c r="LFQ4752" s="689"/>
      <c r="LFR4752" s="691"/>
      <c r="LFS4752" s="689"/>
      <c r="LFT4752" s="691"/>
      <c r="LFU4752" s="689"/>
      <c r="LFV4752" s="691"/>
      <c r="LFW4752" s="689"/>
      <c r="LFX4752" s="691"/>
      <c r="LFY4752" s="689"/>
      <c r="LFZ4752" s="691"/>
      <c r="LGA4752" s="689"/>
      <c r="LGB4752" s="691"/>
      <c r="LGC4752" s="689"/>
      <c r="LGD4752" s="691"/>
      <c r="LGE4752" s="689"/>
      <c r="LGF4752" s="691"/>
      <c r="LGG4752" s="689"/>
      <c r="LGH4752" s="691"/>
      <c r="LGI4752" s="689"/>
      <c r="LGJ4752" s="691"/>
      <c r="LGK4752" s="689"/>
      <c r="LGL4752" s="691"/>
      <c r="LGM4752" s="689"/>
      <c r="LGN4752" s="691"/>
      <c r="LGO4752" s="689"/>
      <c r="LGP4752" s="691"/>
      <c r="LGQ4752" s="689"/>
      <c r="LGR4752" s="691"/>
      <c r="LGS4752" s="689"/>
      <c r="LGT4752" s="691"/>
      <c r="LGU4752" s="689"/>
      <c r="LGV4752" s="691"/>
      <c r="LGW4752" s="689"/>
      <c r="LGX4752" s="691"/>
      <c r="LGY4752" s="689"/>
      <c r="LGZ4752" s="691"/>
      <c r="LHA4752" s="689"/>
      <c r="LHB4752" s="691"/>
      <c r="LHC4752" s="689"/>
      <c r="LHD4752" s="691"/>
      <c r="LHE4752" s="689"/>
      <c r="LHF4752" s="691"/>
      <c r="LHG4752" s="689"/>
      <c r="LHH4752" s="691"/>
      <c r="LHI4752" s="689"/>
      <c r="LHJ4752" s="691"/>
      <c r="LHK4752" s="689"/>
      <c r="LHL4752" s="691"/>
      <c r="LHM4752" s="689"/>
      <c r="LHN4752" s="691"/>
      <c r="LHO4752" s="689"/>
      <c r="LHP4752" s="691"/>
      <c r="LHQ4752" s="689"/>
      <c r="LHR4752" s="691"/>
      <c r="LHS4752" s="689"/>
      <c r="LHT4752" s="691"/>
      <c r="LHU4752" s="689"/>
      <c r="LHV4752" s="691"/>
      <c r="LHW4752" s="689"/>
      <c r="LHX4752" s="691"/>
      <c r="LHY4752" s="689"/>
      <c r="LHZ4752" s="691"/>
      <c r="LIA4752" s="689"/>
      <c r="LIB4752" s="691"/>
      <c r="LIC4752" s="689"/>
      <c r="LID4752" s="691"/>
      <c r="LIE4752" s="689"/>
      <c r="LIF4752" s="691"/>
      <c r="LIG4752" s="689"/>
      <c r="LIH4752" s="691"/>
      <c r="LII4752" s="689"/>
      <c r="LIJ4752" s="691"/>
      <c r="LIK4752" s="689"/>
      <c r="LIL4752" s="691"/>
      <c r="LIM4752" s="689"/>
      <c r="LIN4752" s="691"/>
      <c r="LIO4752" s="689"/>
      <c r="LIP4752" s="691"/>
      <c r="LIQ4752" s="689"/>
      <c r="LIR4752" s="691"/>
      <c r="LIS4752" s="689"/>
      <c r="LIT4752" s="691"/>
      <c r="LIU4752" s="689"/>
      <c r="LIV4752" s="691"/>
      <c r="LIW4752" s="689"/>
      <c r="LIX4752" s="691"/>
      <c r="LIY4752" s="689"/>
      <c r="LIZ4752" s="691"/>
      <c r="LJA4752" s="689"/>
      <c r="LJB4752" s="691"/>
      <c r="LJC4752" s="689"/>
      <c r="LJD4752" s="691"/>
      <c r="LJE4752" s="689"/>
      <c r="LJF4752" s="691"/>
      <c r="LJG4752" s="689"/>
      <c r="LJH4752" s="691"/>
      <c r="LJI4752" s="689"/>
      <c r="LJJ4752" s="691"/>
      <c r="LJK4752" s="689"/>
      <c r="LJL4752" s="691"/>
      <c r="LJM4752" s="689"/>
      <c r="LJN4752" s="691"/>
      <c r="LJO4752" s="689"/>
      <c r="LJP4752" s="691"/>
      <c r="LJQ4752" s="689"/>
      <c r="LJR4752" s="691"/>
      <c r="LJS4752" s="689"/>
      <c r="LJT4752" s="691"/>
      <c r="LJU4752" s="689"/>
      <c r="LJV4752" s="691"/>
      <c r="LJW4752" s="689"/>
      <c r="LJX4752" s="691"/>
      <c r="LJY4752" s="689"/>
      <c r="LJZ4752" s="691"/>
      <c r="LKA4752" s="689"/>
      <c r="LKB4752" s="691"/>
      <c r="LKC4752" s="689"/>
      <c r="LKD4752" s="691"/>
      <c r="LKE4752" s="689"/>
      <c r="LKF4752" s="691"/>
      <c r="LKG4752" s="689"/>
      <c r="LKH4752" s="691"/>
      <c r="LKI4752" s="689"/>
      <c r="LKJ4752" s="691"/>
      <c r="LKK4752" s="689"/>
      <c r="LKL4752" s="691"/>
      <c r="LKM4752" s="689"/>
      <c r="LKN4752" s="691"/>
      <c r="LKO4752" s="689"/>
      <c r="LKP4752" s="691"/>
      <c r="LKQ4752" s="689"/>
      <c r="LKR4752" s="691"/>
      <c r="LKS4752" s="689"/>
      <c r="LKT4752" s="691"/>
      <c r="LKU4752" s="689"/>
      <c r="LKV4752" s="691"/>
      <c r="LKW4752" s="689"/>
      <c r="LKX4752" s="691"/>
      <c r="LKY4752" s="689"/>
      <c r="LKZ4752" s="691"/>
      <c r="LLA4752" s="689"/>
      <c r="LLB4752" s="691"/>
      <c r="LLC4752" s="689"/>
      <c r="LLD4752" s="691"/>
      <c r="LLE4752" s="689"/>
      <c r="LLF4752" s="691"/>
      <c r="LLG4752" s="689"/>
      <c r="LLH4752" s="691"/>
      <c r="LLI4752" s="689"/>
      <c r="LLJ4752" s="691"/>
      <c r="LLK4752" s="689"/>
      <c r="LLL4752" s="691"/>
      <c r="LLM4752" s="689"/>
      <c r="LLN4752" s="691"/>
      <c r="LLO4752" s="689"/>
      <c r="LLP4752" s="691"/>
      <c r="LLQ4752" s="689"/>
      <c r="LLR4752" s="691"/>
      <c r="LLS4752" s="689"/>
      <c r="LLT4752" s="691"/>
      <c r="LLU4752" s="689"/>
      <c r="LLV4752" s="691"/>
      <c r="LLW4752" s="689"/>
      <c r="LLX4752" s="691"/>
      <c r="LLY4752" s="689"/>
      <c r="LLZ4752" s="691"/>
      <c r="LMA4752" s="689"/>
      <c r="LMB4752" s="691"/>
      <c r="LMC4752" s="689"/>
      <c r="LMD4752" s="691"/>
      <c r="LME4752" s="689"/>
      <c r="LMF4752" s="691"/>
      <c r="LMG4752" s="689"/>
      <c r="LMH4752" s="691"/>
      <c r="LMI4752" s="689"/>
      <c r="LMJ4752" s="691"/>
      <c r="LMK4752" s="689"/>
      <c r="LML4752" s="691"/>
      <c r="LMM4752" s="689"/>
      <c r="LMN4752" s="691"/>
      <c r="LMO4752" s="689"/>
      <c r="LMP4752" s="691"/>
      <c r="LMQ4752" s="689"/>
      <c r="LMR4752" s="691"/>
      <c r="LMS4752" s="689"/>
      <c r="LMT4752" s="691"/>
      <c r="LMU4752" s="689"/>
      <c r="LMV4752" s="691"/>
      <c r="LMW4752" s="689"/>
      <c r="LMX4752" s="691"/>
      <c r="LMY4752" s="689"/>
      <c r="LMZ4752" s="691"/>
      <c r="LNA4752" s="689"/>
      <c r="LNB4752" s="691"/>
      <c r="LNC4752" s="689"/>
      <c r="LND4752" s="691"/>
      <c r="LNE4752" s="689"/>
      <c r="LNF4752" s="691"/>
      <c r="LNG4752" s="689"/>
      <c r="LNH4752" s="691"/>
      <c r="LNI4752" s="689"/>
      <c r="LNJ4752" s="691"/>
      <c r="LNK4752" s="689"/>
      <c r="LNL4752" s="691"/>
      <c r="LNM4752" s="689"/>
      <c r="LNN4752" s="691"/>
      <c r="LNO4752" s="689"/>
      <c r="LNP4752" s="691"/>
      <c r="LNQ4752" s="689"/>
      <c r="LNR4752" s="691"/>
      <c r="LNS4752" s="689"/>
      <c r="LNT4752" s="691"/>
      <c r="LNU4752" s="689"/>
      <c r="LNV4752" s="691"/>
      <c r="LNW4752" s="689"/>
      <c r="LNX4752" s="691"/>
      <c r="LNY4752" s="689"/>
      <c r="LNZ4752" s="691"/>
      <c r="LOA4752" s="689"/>
      <c r="LOB4752" s="691"/>
      <c r="LOC4752" s="689"/>
      <c r="LOD4752" s="691"/>
      <c r="LOE4752" s="689"/>
      <c r="LOF4752" s="691"/>
      <c r="LOG4752" s="689"/>
      <c r="LOH4752" s="691"/>
      <c r="LOI4752" s="689"/>
      <c r="LOJ4752" s="691"/>
      <c r="LOK4752" s="689"/>
      <c r="LOL4752" s="691"/>
      <c r="LOM4752" s="689"/>
      <c r="LON4752" s="691"/>
      <c r="LOO4752" s="689"/>
      <c r="LOP4752" s="691"/>
      <c r="LOQ4752" s="689"/>
      <c r="LOR4752" s="691"/>
      <c r="LOS4752" s="689"/>
      <c r="LOT4752" s="691"/>
      <c r="LOU4752" s="689"/>
      <c r="LOV4752" s="691"/>
      <c r="LOW4752" s="689"/>
      <c r="LOX4752" s="691"/>
      <c r="LOY4752" s="689"/>
      <c r="LOZ4752" s="691"/>
      <c r="LPA4752" s="689"/>
      <c r="LPB4752" s="691"/>
      <c r="LPC4752" s="689"/>
      <c r="LPD4752" s="691"/>
      <c r="LPE4752" s="689"/>
      <c r="LPF4752" s="691"/>
      <c r="LPG4752" s="689"/>
      <c r="LPH4752" s="691"/>
      <c r="LPI4752" s="689"/>
      <c r="LPJ4752" s="691"/>
      <c r="LPK4752" s="689"/>
      <c r="LPL4752" s="691"/>
      <c r="LPM4752" s="689"/>
      <c r="LPN4752" s="691"/>
      <c r="LPO4752" s="689"/>
      <c r="LPP4752" s="691"/>
      <c r="LPQ4752" s="689"/>
      <c r="LPR4752" s="691"/>
      <c r="LPS4752" s="689"/>
      <c r="LPT4752" s="691"/>
      <c r="LPU4752" s="689"/>
      <c r="LPV4752" s="691"/>
      <c r="LPW4752" s="689"/>
      <c r="LPX4752" s="691"/>
      <c r="LPY4752" s="689"/>
      <c r="LPZ4752" s="691"/>
      <c r="LQA4752" s="689"/>
      <c r="LQB4752" s="691"/>
      <c r="LQC4752" s="689"/>
      <c r="LQD4752" s="691"/>
      <c r="LQE4752" s="689"/>
      <c r="LQF4752" s="691"/>
      <c r="LQG4752" s="689"/>
      <c r="LQH4752" s="691"/>
      <c r="LQI4752" s="689"/>
      <c r="LQJ4752" s="691"/>
      <c r="LQK4752" s="689"/>
      <c r="LQL4752" s="691"/>
      <c r="LQM4752" s="689"/>
      <c r="LQN4752" s="691"/>
      <c r="LQO4752" s="689"/>
      <c r="LQP4752" s="691"/>
      <c r="LQQ4752" s="689"/>
      <c r="LQR4752" s="691"/>
      <c r="LQS4752" s="689"/>
      <c r="LQT4752" s="691"/>
      <c r="LQU4752" s="689"/>
      <c r="LQV4752" s="691"/>
      <c r="LQW4752" s="689"/>
      <c r="LQX4752" s="691"/>
      <c r="LQY4752" s="689"/>
      <c r="LQZ4752" s="691"/>
      <c r="LRA4752" s="689"/>
      <c r="LRB4752" s="691"/>
      <c r="LRC4752" s="689"/>
      <c r="LRD4752" s="691"/>
      <c r="LRE4752" s="689"/>
      <c r="LRF4752" s="691"/>
      <c r="LRG4752" s="689"/>
      <c r="LRH4752" s="691"/>
      <c r="LRI4752" s="689"/>
      <c r="LRJ4752" s="691"/>
      <c r="LRK4752" s="689"/>
      <c r="LRL4752" s="691"/>
      <c r="LRM4752" s="689"/>
      <c r="LRN4752" s="691"/>
      <c r="LRO4752" s="689"/>
      <c r="LRP4752" s="691"/>
      <c r="LRQ4752" s="689"/>
      <c r="LRR4752" s="691"/>
      <c r="LRS4752" s="689"/>
      <c r="LRT4752" s="691"/>
      <c r="LRU4752" s="689"/>
      <c r="LRV4752" s="691"/>
      <c r="LRW4752" s="689"/>
      <c r="LRX4752" s="691"/>
      <c r="LRY4752" s="689"/>
      <c r="LRZ4752" s="691"/>
      <c r="LSA4752" s="689"/>
      <c r="LSB4752" s="691"/>
      <c r="LSC4752" s="689"/>
      <c r="LSD4752" s="691"/>
      <c r="LSE4752" s="689"/>
      <c r="LSF4752" s="691"/>
      <c r="LSG4752" s="689"/>
      <c r="LSH4752" s="691"/>
      <c r="LSI4752" s="689"/>
      <c r="LSJ4752" s="691"/>
      <c r="LSK4752" s="689"/>
      <c r="LSL4752" s="691"/>
      <c r="LSM4752" s="689"/>
      <c r="LSN4752" s="691"/>
      <c r="LSO4752" s="689"/>
      <c r="LSP4752" s="691"/>
      <c r="LSQ4752" s="689"/>
      <c r="LSR4752" s="691"/>
      <c r="LSS4752" s="689"/>
      <c r="LST4752" s="691"/>
      <c r="LSU4752" s="689"/>
      <c r="LSV4752" s="691"/>
      <c r="LSW4752" s="689"/>
      <c r="LSX4752" s="691"/>
      <c r="LSY4752" s="689"/>
      <c r="LSZ4752" s="691"/>
      <c r="LTA4752" s="689"/>
      <c r="LTB4752" s="691"/>
      <c r="LTC4752" s="689"/>
      <c r="LTD4752" s="691"/>
      <c r="LTE4752" s="689"/>
      <c r="LTF4752" s="691"/>
      <c r="LTG4752" s="689"/>
      <c r="LTH4752" s="691"/>
      <c r="LTI4752" s="689"/>
      <c r="LTJ4752" s="691"/>
      <c r="LTK4752" s="689"/>
      <c r="LTL4752" s="691"/>
      <c r="LTM4752" s="689"/>
      <c r="LTN4752" s="691"/>
      <c r="LTO4752" s="689"/>
      <c r="LTP4752" s="691"/>
      <c r="LTQ4752" s="689"/>
      <c r="LTR4752" s="691"/>
      <c r="LTS4752" s="689"/>
      <c r="LTT4752" s="691"/>
      <c r="LTU4752" s="689"/>
      <c r="LTV4752" s="691"/>
      <c r="LTW4752" s="689"/>
      <c r="LTX4752" s="691"/>
      <c r="LTY4752" s="689"/>
      <c r="LTZ4752" s="691"/>
      <c r="LUA4752" s="689"/>
      <c r="LUB4752" s="691"/>
      <c r="LUC4752" s="689"/>
      <c r="LUD4752" s="691"/>
      <c r="LUE4752" s="689"/>
      <c r="LUF4752" s="691"/>
      <c r="LUG4752" s="689"/>
      <c r="LUH4752" s="691"/>
      <c r="LUI4752" s="689"/>
      <c r="LUJ4752" s="691"/>
      <c r="LUK4752" s="689"/>
      <c r="LUL4752" s="691"/>
      <c r="LUM4752" s="689"/>
      <c r="LUN4752" s="691"/>
      <c r="LUO4752" s="689"/>
      <c r="LUP4752" s="691"/>
      <c r="LUQ4752" s="689"/>
      <c r="LUR4752" s="691"/>
      <c r="LUS4752" s="689"/>
      <c r="LUT4752" s="691"/>
      <c r="LUU4752" s="689"/>
      <c r="LUV4752" s="691"/>
      <c r="LUW4752" s="689"/>
      <c r="LUX4752" s="691"/>
      <c r="LUY4752" s="689"/>
      <c r="LUZ4752" s="691"/>
      <c r="LVA4752" s="689"/>
      <c r="LVB4752" s="691"/>
      <c r="LVC4752" s="689"/>
      <c r="LVD4752" s="691"/>
      <c r="LVE4752" s="689"/>
      <c r="LVF4752" s="691"/>
      <c r="LVG4752" s="689"/>
      <c r="LVH4752" s="691"/>
      <c r="LVI4752" s="689"/>
      <c r="LVJ4752" s="691"/>
      <c r="LVK4752" s="689"/>
      <c r="LVL4752" s="691"/>
      <c r="LVM4752" s="689"/>
      <c r="LVN4752" s="691"/>
      <c r="LVO4752" s="689"/>
      <c r="LVP4752" s="691"/>
      <c r="LVQ4752" s="689"/>
      <c r="LVR4752" s="691"/>
      <c r="LVS4752" s="689"/>
      <c r="LVT4752" s="691"/>
      <c r="LVU4752" s="689"/>
      <c r="LVV4752" s="691"/>
      <c r="LVW4752" s="689"/>
      <c r="LVX4752" s="691"/>
      <c r="LVY4752" s="689"/>
      <c r="LVZ4752" s="691"/>
      <c r="LWA4752" s="689"/>
      <c r="LWB4752" s="691"/>
      <c r="LWC4752" s="689"/>
      <c r="LWD4752" s="691"/>
      <c r="LWE4752" s="689"/>
      <c r="LWF4752" s="691"/>
      <c r="LWG4752" s="689"/>
      <c r="LWH4752" s="691"/>
      <c r="LWI4752" s="689"/>
      <c r="LWJ4752" s="691"/>
      <c r="LWK4752" s="689"/>
      <c r="LWL4752" s="691"/>
      <c r="LWM4752" s="689"/>
      <c r="LWN4752" s="691"/>
      <c r="LWO4752" s="689"/>
      <c r="LWP4752" s="691"/>
      <c r="LWQ4752" s="689"/>
      <c r="LWR4752" s="691"/>
      <c r="LWS4752" s="689"/>
      <c r="LWT4752" s="691"/>
      <c r="LWU4752" s="689"/>
      <c r="LWV4752" s="691"/>
      <c r="LWW4752" s="689"/>
      <c r="LWX4752" s="691"/>
      <c r="LWY4752" s="689"/>
      <c r="LWZ4752" s="691"/>
      <c r="LXA4752" s="689"/>
      <c r="LXB4752" s="691"/>
      <c r="LXC4752" s="689"/>
      <c r="LXD4752" s="691"/>
      <c r="LXE4752" s="689"/>
      <c r="LXF4752" s="691"/>
      <c r="LXG4752" s="689"/>
      <c r="LXH4752" s="691"/>
      <c r="LXI4752" s="689"/>
      <c r="LXJ4752" s="691"/>
      <c r="LXK4752" s="689"/>
      <c r="LXL4752" s="691"/>
      <c r="LXM4752" s="689"/>
      <c r="LXN4752" s="691"/>
      <c r="LXO4752" s="689"/>
      <c r="LXP4752" s="691"/>
      <c r="LXQ4752" s="689"/>
      <c r="LXR4752" s="691"/>
      <c r="LXS4752" s="689"/>
      <c r="LXT4752" s="691"/>
      <c r="LXU4752" s="689"/>
      <c r="LXV4752" s="691"/>
      <c r="LXW4752" s="689"/>
      <c r="LXX4752" s="691"/>
      <c r="LXY4752" s="689"/>
      <c r="LXZ4752" s="691"/>
      <c r="LYA4752" s="689"/>
      <c r="LYB4752" s="691"/>
      <c r="LYC4752" s="689"/>
      <c r="LYD4752" s="691"/>
      <c r="LYE4752" s="689"/>
      <c r="LYF4752" s="691"/>
      <c r="LYG4752" s="689"/>
      <c r="LYH4752" s="691"/>
      <c r="LYI4752" s="689"/>
      <c r="LYJ4752" s="691"/>
      <c r="LYK4752" s="689"/>
      <c r="LYL4752" s="691"/>
      <c r="LYM4752" s="689"/>
      <c r="LYN4752" s="691"/>
      <c r="LYO4752" s="689"/>
      <c r="LYP4752" s="691"/>
      <c r="LYQ4752" s="689"/>
      <c r="LYR4752" s="691"/>
      <c r="LYS4752" s="689"/>
      <c r="LYT4752" s="691"/>
      <c r="LYU4752" s="689"/>
      <c r="LYV4752" s="691"/>
      <c r="LYW4752" s="689"/>
      <c r="LYX4752" s="691"/>
      <c r="LYY4752" s="689"/>
      <c r="LYZ4752" s="691"/>
      <c r="LZA4752" s="689"/>
      <c r="LZB4752" s="691"/>
      <c r="LZC4752" s="689"/>
      <c r="LZD4752" s="691"/>
      <c r="LZE4752" s="689"/>
      <c r="LZF4752" s="691"/>
      <c r="LZG4752" s="689"/>
      <c r="LZH4752" s="691"/>
      <c r="LZI4752" s="689"/>
      <c r="LZJ4752" s="691"/>
      <c r="LZK4752" s="689"/>
      <c r="LZL4752" s="691"/>
      <c r="LZM4752" s="689"/>
      <c r="LZN4752" s="691"/>
      <c r="LZO4752" s="689"/>
      <c r="LZP4752" s="691"/>
      <c r="LZQ4752" s="689"/>
      <c r="LZR4752" s="691"/>
      <c r="LZS4752" s="689"/>
      <c r="LZT4752" s="691"/>
      <c r="LZU4752" s="689"/>
      <c r="LZV4752" s="691"/>
      <c r="LZW4752" s="689"/>
      <c r="LZX4752" s="691"/>
      <c r="LZY4752" s="689"/>
      <c r="LZZ4752" s="691"/>
      <c r="MAA4752" s="689"/>
      <c r="MAB4752" s="691"/>
      <c r="MAC4752" s="689"/>
      <c r="MAD4752" s="691"/>
      <c r="MAE4752" s="689"/>
      <c r="MAF4752" s="691"/>
      <c r="MAG4752" s="689"/>
      <c r="MAH4752" s="691"/>
      <c r="MAI4752" s="689"/>
      <c r="MAJ4752" s="691"/>
      <c r="MAK4752" s="689"/>
      <c r="MAL4752" s="691"/>
      <c r="MAM4752" s="689"/>
      <c r="MAN4752" s="691"/>
      <c r="MAO4752" s="689"/>
      <c r="MAP4752" s="691"/>
      <c r="MAQ4752" s="689"/>
      <c r="MAR4752" s="691"/>
      <c r="MAS4752" s="689"/>
      <c r="MAT4752" s="691"/>
      <c r="MAU4752" s="689"/>
      <c r="MAV4752" s="691"/>
      <c r="MAW4752" s="689"/>
      <c r="MAX4752" s="691"/>
      <c r="MAY4752" s="689"/>
      <c r="MAZ4752" s="691"/>
      <c r="MBA4752" s="689"/>
      <c r="MBB4752" s="691"/>
      <c r="MBC4752" s="689"/>
      <c r="MBD4752" s="691"/>
      <c r="MBE4752" s="689"/>
      <c r="MBF4752" s="691"/>
      <c r="MBG4752" s="689"/>
      <c r="MBH4752" s="691"/>
      <c r="MBI4752" s="689"/>
      <c r="MBJ4752" s="691"/>
      <c r="MBK4752" s="689"/>
      <c r="MBL4752" s="691"/>
      <c r="MBM4752" s="689"/>
      <c r="MBN4752" s="691"/>
      <c r="MBO4752" s="689"/>
      <c r="MBP4752" s="691"/>
      <c r="MBQ4752" s="689"/>
      <c r="MBR4752" s="691"/>
      <c r="MBS4752" s="689"/>
      <c r="MBT4752" s="691"/>
      <c r="MBU4752" s="689"/>
      <c r="MBV4752" s="691"/>
      <c r="MBW4752" s="689"/>
      <c r="MBX4752" s="691"/>
      <c r="MBY4752" s="689"/>
      <c r="MBZ4752" s="691"/>
      <c r="MCA4752" s="689"/>
      <c r="MCB4752" s="691"/>
      <c r="MCC4752" s="689"/>
      <c r="MCD4752" s="691"/>
      <c r="MCE4752" s="689"/>
      <c r="MCF4752" s="691"/>
      <c r="MCG4752" s="689"/>
      <c r="MCH4752" s="691"/>
      <c r="MCI4752" s="689"/>
      <c r="MCJ4752" s="691"/>
      <c r="MCK4752" s="689"/>
      <c r="MCL4752" s="691"/>
      <c r="MCM4752" s="689"/>
      <c r="MCN4752" s="691"/>
      <c r="MCO4752" s="689"/>
      <c r="MCP4752" s="691"/>
      <c r="MCQ4752" s="689"/>
      <c r="MCR4752" s="691"/>
      <c r="MCS4752" s="689"/>
      <c r="MCT4752" s="691"/>
      <c r="MCU4752" s="689"/>
      <c r="MCV4752" s="691"/>
      <c r="MCW4752" s="689"/>
      <c r="MCX4752" s="691"/>
      <c r="MCY4752" s="689"/>
      <c r="MCZ4752" s="691"/>
      <c r="MDA4752" s="689"/>
      <c r="MDB4752" s="691"/>
      <c r="MDC4752" s="689"/>
      <c r="MDD4752" s="691"/>
      <c r="MDE4752" s="689"/>
      <c r="MDF4752" s="691"/>
      <c r="MDG4752" s="689"/>
      <c r="MDH4752" s="691"/>
      <c r="MDI4752" s="689"/>
      <c r="MDJ4752" s="691"/>
      <c r="MDK4752" s="689"/>
      <c r="MDL4752" s="691"/>
      <c r="MDM4752" s="689"/>
      <c r="MDN4752" s="691"/>
      <c r="MDO4752" s="689"/>
      <c r="MDP4752" s="691"/>
      <c r="MDQ4752" s="689"/>
      <c r="MDR4752" s="691"/>
      <c r="MDS4752" s="689"/>
      <c r="MDT4752" s="691"/>
      <c r="MDU4752" s="689"/>
      <c r="MDV4752" s="691"/>
      <c r="MDW4752" s="689"/>
      <c r="MDX4752" s="691"/>
      <c r="MDY4752" s="689"/>
      <c r="MDZ4752" s="691"/>
      <c r="MEA4752" s="689"/>
      <c r="MEB4752" s="691"/>
      <c r="MEC4752" s="689"/>
      <c r="MED4752" s="691"/>
      <c r="MEE4752" s="689"/>
      <c r="MEF4752" s="691"/>
      <c r="MEG4752" s="689"/>
      <c r="MEH4752" s="691"/>
      <c r="MEI4752" s="689"/>
      <c r="MEJ4752" s="691"/>
      <c r="MEK4752" s="689"/>
      <c r="MEL4752" s="691"/>
      <c r="MEM4752" s="689"/>
      <c r="MEN4752" s="691"/>
      <c r="MEO4752" s="689"/>
      <c r="MEP4752" s="691"/>
      <c r="MEQ4752" s="689"/>
      <c r="MER4752" s="691"/>
      <c r="MES4752" s="689"/>
      <c r="MET4752" s="691"/>
      <c r="MEU4752" s="689"/>
      <c r="MEV4752" s="691"/>
      <c r="MEW4752" s="689"/>
      <c r="MEX4752" s="691"/>
      <c r="MEY4752" s="689"/>
      <c r="MEZ4752" s="691"/>
      <c r="MFA4752" s="689"/>
      <c r="MFB4752" s="691"/>
      <c r="MFC4752" s="689"/>
      <c r="MFD4752" s="691"/>
      <c r="MFE4752" s="689"/>
      <c r="MFF4752" s="691"/>
      <c r="MFG4752" s="689"/>
      <c r="MFH4752" s="691"/>
      <c r="MFI4752" s="689"/>
      <c r="MFJ4752" s="691"/>
      <c r="MFK4752" s="689"/>
      <c r="MFL4752" s="691"/>
      <c r="MFM4752" s="689"/>
      <c r="MFN4752" s="691"/>
      <c r="MFO4752" s="689"/>
      <c r="MFP4752" s="691"/>
      <c r="MFQ4752" s="689"/>
      <c r="MFR4752" s="691"/>
      <c r="MFS4752" s="689"/>
      <c r="MFT4752" s="691"/>
      <c r="MFU4752" s="689"/>
      <c r="MFV4752" s="691"/>
      <c r="MFW4752" s="689"/>
      <c r="MFX4752" s="691"/>
      <c r="MFY4752" s="689"/>
      <c r="MFZ4752" s="691"/>
      <c r="MGA4752" s="689"/>
      <c r="MGB4752" s="691"/>
      <c r="MGC4752" s="689"/>
      <c r="MGD4752" s="691"/>
      <c r="MGE4752" s="689"/>
      <c r="MGF4752" s="691"/>
      <c r="MGG4752" s="689"/>
      <c r="MGH4752" s="691"/>
      <c r="MGI4752" s="689"/>
      <c r="MGJ4752" s="691"/>
      <c r="MGK4752" s="689"/>
      <c r="MGL4752" s="691"/>
      <c r="MGM4752" s="689"/>
      <c r="MGN4752" s="691"/>
      <c r="MGO4752" s="689"/>
      <c r="MGP4752" s="691"/>
      <c r="MGQ4752" s="689"/>
      <c r="MGR4752" s="691"/>
      <c r="MGS4752" s="689"/>
      <c r="MGT4752" s="691"/>
      <c r="MGU4752" s="689"/>
      <c r="MGV4752" s="691"/>
      <c r="MGW4752" s="689"/>
      <c r="MGX4752" s="691"/>
      <c r="MGY4752" s="689"/>
      <c r="MGZ4752" s="691"/>
      <c r="MHA4752" s="689"/>
      <c r="MHB4752" s="691"/>
      <c r="MHC4752" s="689"/>
      <c r="MHD4752" s="691"/>
      <c r="MHE4752" s="689"/>
      <c r="MHF4752" s="691"/>
      <c r="MHG4752" s="689"/>
      <c r="MHH4752" s="691"/>
      <c r="MHI4752" s="689"/>
      <c r="MHJ4752" s="691"/>
      <c r="MHK4752" s="689"/>
      <c r="MHL4752" s="691"/>
      <c r="MHM4752" s="689"/>
      <c r="MHN4752" s="691"/>
      <c r="MHO4752" s="689"/>
      <c r="MHP4752" s="691"/>
      <c r="MHQ4752" s="689"/>
      <c r="MHR4752" s="691"/>
      <c r="MHS4752" s="689"/>
      <c r="MHT4752" s="691"/>
      <c r="MHU4752" s="689"/>
      <c r="MHV4752" s="691"/>
      <c r="MHW4752" s="689"/>
      <c r="MHX4752" s="691"/>
      <c r="MHY4752" s="689"/>
      <c r="MHZ4752" s="691"/>
      <c r="MIA4752" s="689"/>
      <c r="MIB4752" s="691"/>
      <c r="MIC4752" s="689"/>
      <c r="MID4752" s="691"/>
      <c r="MIE4752" s="689"/>
      <c r="MIF4752" s="691"/>
      <c r="MIG4752" s="689"/>
      <c r="MIH4752" s="691"/>
      <c r="MII4752" s="689"/>
      <c r="MIJ4752" s="691"/>
      <c r="MIK4752" s="689"/>
      <c r="MIL4752" s="691"/>
      <c r="MIM4752" s="689"/>
      <c r="MIN4752" s="691"/>
      <c r="MIO4752" s="689"/>
      <c r="MIP4752" s="691"/>
      <c r="MIQ4752" s="689"/>
      <c r="MIR4752" s="691"/>
      <c r="MIS4752" s="689"/>
      <c r="MIT4752" s="691"/>
      <c r="MIU4752" s="689"/>
      <c r="MIV4752" s="691"/>
      <c r="MIW4752" s="689"/>
      <c r="MIX4752" s="691"/>
      <c r="MIY4752" s="689"/>
      <c r="MIZ4752" s="691"/>
      <c r="MJA4752" s="689"/>
      <c r="MJB4752" s="691"/>
      <c r="MJC4752" s="689"/>
      <c r="MJD4752" s="691"/>
      <c r="MJE4752" s="689"/>
      <c r="MJF4752" s="691"/>
      <c r="MJG4752" s="689"/>
      <c r="MJH4752" s="691"/>
      <c r="MJI4752" s="689"/>
      <c r="MJJ4752" s="691"/>
      <c r="MJK4752" s="689"/>
      <c r="MJL4752" s="691"/>
      <c r="MJM4752" s="689"/>
      <c r="MJN4752" s="691"/>
      <c r="MJO4752" s="689"/>
      <c r="MJP4752" s="691"/>
      <c r="MJQ4752" s="689"/>
      <c r="MJR4752" s="691"/>
      <c r="MJS4752" s="689"/>
      <c r="MJT4752" s="691"/>
      <c r="MJU4752" s="689"/>
      <c r="MJV4752" s="691"/>
      <c r="MJW4752" s="689"/>
      <c r="MJX4752" s="691"/>
      <c r="MJY4752" s="689"/>
      <c r="MJZ4752" s="691"/>
      <c r="MKA4752" s="689"/>
      <c r="MKB4752" s="691"/>
      <c r="MKC4752" s="689"/>
      <c r="MKD4752" s="691"/>
      <c r="MKE4752" s="689"/>
      <c r="MKF4752" s="691"/>
      <c r="MKG4752" s="689"/>
      <c r="MKH4752" s="691"/>
      <c r="MKI4752" s="689"/>
      <c r="MKJ4752" s="691"/>
      <c r="MKK4752" s="689"/>
      <c r="MKL4752" s="691"/>
      <c r="MKM4752" s="689"/>
      <c r="MKN4752" s="691"/>
      <c r="MKO4752" s="689"/>
      <c r="MKP4752" s="691"/>
      <c r="MKQ4752" s="689"/>
      <c r="MKR4752" s="691"/>
      <c r="MKS4752" s="689"/>
      <c r="MKT4752" s="691"/>
      <c r="MKU4752" s="689"/>
      <c r="MKV4752" s="691"/>
      <c r="MKW4752" s="689"/>
      <c r="MKX4752" s="691"/>
      <c r="MKY4752" s="689"/>
      <c r="MKZ4752" s="691"/>
      <c r="MLA4752" s="689"/>
      <c r="MLB4752" s="691"/>
      <c r="MLC4752" s="689"/>
      <c r="MLD4752" s="691"/>
      <c r="MLE4752" s="689"/>
      <c r="MLF4752" s="691"/>
      <c r="MLG4752" s="689"/>
      <c r="MLH4752" s="691"/>
      <c r="MLI4752" s="689"/>
      <c r="MLJ4752" s="691"/>
      <c r="MLK4752" s="689"/>
      <c r="MLL4752" s="691"/>
      <c r="MLM4752" s="689"/>
      <c r="MLN4752" s="691"/>
      <c r="MLO4752" s="689"/>
      <c r="MLP4752" s="691"/>
      <c r="MLQ4752" s="689"/>
      <c r="MLR4752" s="691"/>
      <c r="MLS4752" s="689"/>
      <c r="MLT4752" s="691"/>
      <c r="MLU4752" s="689"/>
      <c r="MLV4752" s="691"/>
      <c r="MLW4752" s="689"/>
      <c r="MLX4752" s="691"/>
      <c r="MLY4752" s="689"/>
      <c r="MLZ4752" s="691"/>
      <c r="MMA4752" s="689"/>
      <c r="MMB4752" s="691"/>
      <c r="MMC4752" s="689"/>
      <c r="MMD4752" s="691"/>
      <c r="MME4752" s="689"/>
      <c r="MMF4752" s="691"/>
      <c r="MMG4752" s="689"/>
      <c r="MMH4752" s="691"/>
      <c r="MMI4752" s="689"/>
      <c r="MMJ4752" s="691"/>
      <c r="MMK4752" s="689"/>
      <c r="MML4752" s="691"/>
      <c r="MMM4752" s="689"/>
      <c r="MMN4752" s="691"/>
      <c r="MMO4752" s="689"/>
      <c r="MMP4752" s="691"/>
      <c r="MMQ4752" s="689"/>
      <c r="MMR4752" s="691"/>
      <c r="MMS4752" s="689"/>
      <c r="MMT4752" s="691"/>
      <c r="MMU4752" s="689"/>
      <c r="MMV4752" s="691"/>
      <c r="MMW4752" s="689"/>
      <c r="MMX4752" s="691"/>
      <c r="MMY4752" s="689"/>
      <c r="MMZ4752" s="691"/>
      <c r="MNA4752" s="689"/>
      <c r="MNB4752" s="691"/>
      <c r="MNC4752" s="689"/>
      <c r="MND4752" s="691"/>
      <c r="MNE4752" s="689"/>
      <c r="MNF4752" s="691"/>
      <c r="MNG4752" s="689"/>
      <c r="MNH4752" s="691"/>
      <c r="MNI4752" s="689"/>
      <c r="MNJ4752" s="691"/>
      <c r="MNK4752" s="689"/>
      <c r="MNL4752" s="691"/>
      <c r="MNM4752" s="689"/>
      <c r="MNN4752" s="691"/>
      <c r="MNO4752" s="689"/>
      <c r="MNP4752" s="691"/>
      <c r="MNQ4752" s="689"/>
      <c r="MNR4752" s="691"/>
      <c r="MNS4752" s="689"/>
      <c r="MNT4752" s="691"/>
      <c r="MNU4752" s="689"/>
      <c r="MNV4752" s="691"/>
      <c r="MNW4752" s="689"/>
      <c r="MNX4752" s="691"/>
      <c r="MNY4752" s="689"/>
      <c r="MNZ4752" s="691"/>
      <c r="MOA4752" s="689"/>
      <c r="MOB4752" s="691"/>
      <c r="MOC4752" s="689"/>
      <c r="MOD4752" s="691"/>
      <c r="MOE4752" s="689"/>
      <c r="MOF4752" s="691"/>
      <c r="MOG4752" s="689"/>
      <c r="MOH4752" s="691"/>
      <c r="MOI4752" s="689"/>
      <c r="MOJ4752" s="691"/>
      <c r="MOK4752" s="689"/>
      <c r="MOL4752" s="691"/>
      <c r="MOM4752" s="689"/>
      <c r="MON4752" s="691"/>
      <c r="MOO4752" s="689"/>
      <c r="MOP4752" s="691"/>
      <c r="MOQ4752" s="689"/>
      <c r="MOR4752" s="691"/>
      <c r="MOS4752" s="689"/>
      <c r="MOT4752" s="691"/>
      <c r="MOU4752" s="689"/>
      <c r="MOV4752" s="691"/>
      <c r="MOW4752" s="689"/>
      <c r="MOX4752" s="691"/>
      <c r="MOY4752" s="689"/>
      <c r="MOZ4752" s="691"/>
      <c r="MPA4752" s="689"/>
      <c r="MPB4752" s="691"/>
      <c r="MPC4752" s="689"/>
      <c r="MPD4752" s="691"/>
      <c r="MPE4752" s="689"/>
      <c r="MPF4752" s="691"/>
      <c r="MPG4752" s="689"/>
      <c r="MPH4752" s="691"/>
      <c r="MPI4752" s="689"/>
      <c r="MPJ4752" s="691"/>
      <c r="MPK4752" s="689"/>
      <c r="MPL4752" s="691"/>
      <c r="MPM4752" s="689"/>
      <c r="MPN4752" s="691"/>
      <c r="MPO4752" s="689"/>
      <c r="MPP4752" s="691"/>
      <c r="MPQ4752" s="689"/>
      <c r="MPR4752" s="691"/>
      <c r="MPS4752" s="689"/>
      <c r="MPT4752" s="691"/>
      <c r="MPU4752" s="689"/>
      <c r="MPV4752" s="691"/>
      <c r="MPW4752" s="689"/>
      <c r="MPX4752" s="691"/>
      <c r="MPY4752" s="689"/>
      <c r="MPZ4752" s="691"/>
      <c r="MQA4752" s="689"/>
      <c r="MQB4752" s="691"/>
      <c r="MQC4752" s="689"/>
      <c r="MQD4752" s="691"/>
      <c r="MQE4752" s="689"/>
      <c r="MQF4752" s="691"/>
      <c r="MQG4752" s="689"/>
      <c r="MQH4752" s="691"/>
      <c r="MQI4752" s="689"/>
      <c r="MQJ4752" s="691"/>
      <c r="MQK4752" s="689"/>
      <c r="MQL4752" s="691"/>
      <c r="MQM4752" s="689"/>
      <c r="MQN4752" s="691"/>
      <c r="MQO4752" s="689"/>
      <c r="MQP4752" s="691"/>
      <c r="MQQ4752" s="689"/>
      <c r="MQR4752" s="691"/>
      <c r="MQS4752" s="689"/>
      <c r="MQT4752" s="691"/>
      <c r="MQU4752" s="689"/>
      <c r="MQV4752" s="691"/>
      <c r="MQW4752" s="689"/>
      <c r="MQX4752" s="691"/>
      <c r="MQY4752" s="689"/>
      <c r="MQZ4752" s="691"/>
      <c r="MRA4752" s="689"/>
      <c r="MRB4752" s="691"/>
      <c r="MRC4752" s="689"/>
      <c r="MRD4752" s="691"/>
      <c r="MRE4752" s="689"/>
      <c r="MRF4752" s="691"/>
      <c r="MRG4752" s="689"/>
      <c r="MRH4752" s="691"/>
      <c r="MRI4752" s="689"/>
      <c r="MRJ4752" s="691"/>
      <c r="MRK4752" s="689"/>
      <c r="MRL4752" s="691"/>
      <c r="MRM4752" s="689"/>
      <c r="MRN4752" s="691"/>
      <c r="MRO4752" s="689"/>
      <c r="MRP4752" s="691"/>
      <c r="MRQ4752" s="689"/>
      <c r="MRR4752" s="691"/>
      <c r="MRS4752" s="689"/>
      <c r="MRT4752" s="691"/>
      <c r="MRU4752" s="689"/>
      <c r="MRV4752" s="691"/>
      <c r="MRW4752" s="689"/>
      <c r="MRX4752" s="691"/>
      <c r="MRY4752" s="689"/>
      <c r="MRZ4752" s="691"/>
      <c r="MSA4752" s="689"/>
      <c r="MSB4752" s="691"/>
      <c r="MSC4752" s="689"/>
      <c r="MSD4752" s="691"/>
      <c r="MSE4752" s="689"/>
      <c r="MSF4752" s="691"/>
      <c r="MSG4752" s="689"/>
      <c r="MSH4752" s="691"/>
      <c r="MSI4752" s="689"/>
      <c r="MSJ4752" s="691"/>
      <c r="MSK4752" s="689"/>
      <c r="MSL4752" s="691"/>
      <c r="MSM4752" s="689"/>
      <c r="MSN4752" s="691"/>
      <c r="MSO4752" s="689"/>
      <c r="MSP4752" s="691"/>
      <c r="MSQ4752" s="689"/>
      <c r="MSR4752" s="691"/>
      <c r="MSS4752" s="689"/>
      <c r="MST4752" s="691"/>
      <c r="MSU4752" s="689"/>
      <c r="MSV4752" s="691"/>
      <c r="MSW4752" s="689"/>
      <c r="MSX4752" s="691"/>
      <c r="MSY4752" s="689"/>
      <c r="MSZ4752" s="691"/>
      <c r="MTA4752" s="689"/>
      <c r="MTB4752" s="691"/>
      <c r="MTC4752" s="689"/>
      <c r="MTD4752" s="691"/>
      <c r="MTE4752" s="689"/>
      <c r="MTF4752" s="691"/>
      <c r="MTG4752" s="689"/>
      <c r="MTH4752" s="691"/>
      <c r="MTI4752" s="689"/>
      <c r="MTJ4752" s="691"/>
      <c r="MTK4752" s="689"/>
      <c r="MTL4752" s="691"/>
      <c r="MTM4752" s="689"/>
      <c r="MTN4752" s="691"/>
      <c r="MTO4752" s="689"/>
      <c r="MTP4752" s="691"/>
      <c r="MTQ4752" s="689"/>
      <c r="MTR4752" s="691"/>
      <c r="MTS4752" s="689"/>
      <c r="MTT4752" s="691"/>
      <c r="MTU4752" s="689"/>
      <c r="MTV4752" s="691"/>
      <c r="MTW4752" s="689"/>
      <c r="MTX4752" s="691"/>
      <c r="MTY4752" s="689"/>
      <c r="MTZ4752" s="691"/>
      <c r="MUA4752" s="689"/>
      <c r="MUB4752" s="691"/>
      <c r="MUC4752" s="689"/>
      <c r="MUD4752" s="691"/>
      <c r="MUE4752" s="689"/>
      <c r="MUF4752" s="691"/>
      <c r="MUG4752" s="689"/>
      <c r="MUH4752" s="691"/>
      <c r="MUI4752" s="689"/>
      <c r="MUJ4752" s="691"/>
      <c r="MUK4752" s="689"/>
      <c r="MUL4752" s="691"/>
      <c r="MUM4752" s="689"/>
      <c r="MUN4752" s="691"/>
      <c r="MUO4752" s="689"/>
      <c r="MUP4752" s="691"/>
      <c r="MUQ4752" s="689"/>
      <c r="MUR4752" s="691"/>
      <c r="MUS4752" s="689"/>
      <c r="MUT4752" s="691"/>
      <c r="MUU4752" s="689"/>
      <c r="MUV4752" s="691"/>
      <c r="MUW4752" s="689"/>
      <c r="MUX4752" s="691"/>
      <c r="MUY4752" s="689"/>
      <c r="MUZ4752" s="691"/>
      <c r="MVA4752" s="689"/>
      <c r="MVB4752" s="691"/>
      <c r="MVC4752" s="689"/>
      <c r="MVD4752" s="691"/>
      <c r="MVE4752" s="689"/>
      <c r="MVF4752" s="691"/>
      <c r="MVG4752" s="689"/>
      <c r="MVH4752" s="691"/>
      <c r="MVI4752" s="689"/>
      <c r="MVJ4752" s="691"/>
      <c r="MVK4752" s="689"/>
      <c r="MVL4752" s="691"/>
      <c r="MVM4752" s="689"/>
      <c r="MVN4752" s="691"/>
      <c r="MVO4752" s="689"/>
      <c r="MVP4752" s="691"/>
      <c r="MVQ4752" s="689"/>
      <c r="MVR4752" s="691"/>
      <c r="MVS4752" s="689"/>
      <c r="MVT4752" s="691"/>
      <c r="MVU4752" s="689"/>
      <c r="MVV4752" s="691"/>
      <c r="MVW4752" s="689"/>
      <c r="MVX4752" s="691"/>
      <c r="MVY4752" s="689"/>
      <c r="MVZ4752" s="691"/>
      <c r="MWA4752" s="689"/>
      <c r="MWB4752" s="691"/>
      <c r="MWC4752" s="689"/>
      <c r="MWD4752" s="691"/>
      <c r="MWE4752" s="689"/>
      <c r="MWF4752" s="691"/>
      <c r="MWG4752" s="689"/>
      <c r="MWH4752" s="691"/>
      <c r="MWI4752" s="689"/>
      <c r="MWJ4752" s="691"/>
      <c r="MWK4752" s="689"/>
      <c r="MWL4752" s="691"/>
      <c r="MWM4752" s="689"/>
      <c r="MWN4752" s="691"/>
      <c r="MWO4752" s="689"/>
      <c r="MWP4752" s="691"/>
      <c r="MWQ4752" s="689"/>
      <c r="MWR4752" s="691"/>
      <c r="MWS4752" s="689"/>
      <c r="MWT4752" s="691"/>
      <c r="MWU4752" s="689"/>
      <c r="MWV4752" s="691"/>
      <c r="MWW4752" s="689"/>
      <c r="MWX4752" s="691"/>
      <c r="MWY4752" s="689"/>
      <c r="MWZ4752" s="691"/>
      <c r="MXA4752" s="689"/>
      <c r="MXB4752" s="691"/>
      <c r="MXC4752" s="689"/>
      <c r="MXD4752" s="691"/>
      <c r="MXE4752" s="689"/>
      <c r="MXF4752" s="691"/>
      <c r="MXG4752" s="689"/>
      <c r="MXH4752" s="691"/>
      <c r="MXI4752" s="689"/>
      <c r="MXJ4752" s="691"/>
      <c r="MXK4752" s="689"/>
      <c r="MXL4752" s="691"/>
      <c r="MXM4752" s="689"/>
      <c r="MXN4752" s="691"/>
      <c r="MXO4752" s="689"/>
      <c r="MXP4752" s="691"/>
      <c r="MXQ4752" s="689"/>
      <c r="MXR4752" s="691"/>
      <c r="MXS4752" s="689"/>
      <c r="MXT4752" s="691"/>
      <c r="MXU4752" s="689"/>
      <c r="MXV4752" s="691"/>
      <c r="MXW4752" s="689"/>
      <c r="MXX4752" s="691"/>
      <c r="MXY4752" s="689"/>
      <c r="MXZ4752" s="691"/>
      <c r="MYA4752" s="689"/>
      <c r="MYB4752" s="691"/>
      <c r="MYC4752" s="689"/>
      <c r="MYD4752" s="691"/>
      <c r="MYE4752" s="689"/>
      <c r="MYF4752" s="691"/>
      <c r="MYG4752" s="689"/>
      <c r="MYH4752" s="691"/>
      <c r="MYI4752" s="689"/>
      <c r="MYJ4752" s="691"/>
      <c r="MYK4752" s="689"/>
      <c r="MYL4752" s="691"/>
      <c r="MYM4752" s="689"/>
      <c r="MYN4752" s="691"/>
      <c r="MYO4752" s="689"/>
      <c r="MYP4752" s="691"/>
      <c r="MYQ4752" s="689"/>
      <c r="MYR4752" s="691"/>
      <c r="MYS4752" s="689"/>
      <c r="MYT4752" s="691"/>
      <c r="MYU4752" s="689"/>
      <c r="MYV4752" s="691"/>
      <c r="MYW4752" s="689"/>
      <c r="MYX4752" s="691"/>
      <c r="MYY4752" s="689"/>
      <c r="MYZ4752" s="691"/>
      <c r="MZA4752" s="689"/>
      <c r="MZB4752" s="691"/>
      <c r="MZC4752" s="689"/>
      <c r="MZD4752" s="691"/>
      <c r="MZE4752" s="689"/>
      <c r="MZF4752" s="691"/>
      <c r="MZG4752" s="689"/>
      <c r="MZH4752" s="691"/>
      <c r="MZI4752" s="689"/>
      <c r="MZJ4752" s="691"/>
      <c r="MZK4752" s="689"/>
      <c r="MZL4752" s="691"/>
      <c r="MZM4752" s="689"/>
      <c r="MZN4752" s="691"/>
      <c r="MZO4752" s="689"/>
      <c r="MZP4752" s="691"/>
      <c r="MZQ4752" s="689"/>
      <c r="MZR4752" s="691"/>
      <c r="MZS4752" s="689"/>
      <c r="MZT4752" s="691"/>
      <c r="MZU4752" s="689"/>
      <c r="MZV4752" s="691"/>
      <c r="MZW4752" s="689"/>
      <c r="MZX4752" s="691"/>
      <c r="MZY4752" s="689"/>
      <c r="MZZ4752" s="691"/>
      <c r="NAA4752" s="689"/>
      <c r="NAB4752" s="691"/>
      <c r="NAC4752" s="689"/>
      <c r="NAD4752" s="691"/>
      <c r="NAE4752" s="689"/>
      <c r="NAF4752" s="691"/>
      <c r="NAG4752" s="689"/>
      <c r="NAH4752" s="691"/>
      <c r="NAI4752" s="689"/>
      <c r="NAJ4752" s="691"/>
      <c r="NAK4752" s="689"/>
      <c r="NAL4752" s="691"/>
      <c r="NAM4752" s="689"/>
      <c r="NAN4752" s="691"/>
      <c r="NAO4752" s="689"/>
      <c r="NAP4752" s="691"/>
      <c r="NAQ4752" s="689"/>
      <c r="NAR4752" s="691"/>
      <c r="NAS4752" s="689"/>
      <c r="NAT4752" s="691"/>
      <c r="NAU4752" s="689"/>
      <c r="NAV4752" s="691"/>
      <c r="NAW4752" s="689"/>
      <c r="NAX4752" s="691"/>
      <c r="NAY4752" s="689"/>
      <c r="NAZ4752" s="691"/>
      <c r="NBA4752" s="689"/>
      <c r="NBB4752" s="691"/>
      <c r="NBC4752" s="689"/>
      <c r="NBD4752" s="691"/>
      <c r="NBE4752" s="689"/>
      <c r="NBF4752" s="691"/>
      <c r="NBG4752" s="689"/>
      <c r="NBH4752" s="691"/>
      <c r="NBI4752" s="689"/>
      <c r="NBJ4752" s="691"/>
      <c r="NBK4752" s="689"/>
      <c r="NBL4752" s="691"/>
      <c r="NBM4752" s="689"/>
      <c r="NBN4752" s="691"/>
      <c r="NBO4752" s="689"/>
      <c r="NBP4752" s="691"/>
      <c r="NBQ4752" s="689"/>
      <c r="NBR4752" s="691"/>
      <c r="NBS4752" s="689"/>
      <c r="NBT4752" s="691"/>
      <c r="NBU4752" s="689"/>
      <c r="NBV4752" s="691"/>
      <c r="NBW4752" s="689"/>
      <c r="NBX4752" s="691"/>
      <c r="NBY4752" s="689"/>
      <c r="NBZ4752" s="691"/>
      <c r="NCA4752" s="689"/>
      <c r="NCB4752" s="691"/>
      <c r="NCC4752" s="689"/>
      <c r="NCD4752" s="691"/>
      <c r="NCE4752" s="689"/>
      <c r="NCF4752" s="691"/>
      <c r="NCG4752" s="689"/>
      <c r="NCH4752" s="691"/>
      <c r="NCI4752" s="689"/>
      <c r="NCJ4752" s="691"/>
      <c r="NCK4752" s="689"/>
      <c r="NCL4752" s="691"/>
      <c r="NCM4752" s="689"/>
      <c r="NCN4752" s="691"/>
      <c r="NCO4752" s="689"/>
      <c r="NCP4752" s="691"/>
      <c r="NCQ4752" s="689"/>
      <c r="NCR4752" s="691"/>
      <c r="NCS4752" s="689"/>
      <c r="NCT4752" s="691"/>
      <c r="NCU4752" s="689"/>
      <c r="NCV4752" s="691"/>
      <c r="NCW4752" s="689"/>
      <c r="NCX4752" s="691"/>
      <c r="NCY4752" s="689"/>
      <c r="NCZ4752" s="691"/>
      <c r="NDA4752" s="689"/>
      <c r="NDB4752" s="691"/>
      <c r="NDC4752" s="689"/>
      <c r="NDD4752" s="691"/>
      <c r="NDE4752" s="689"/>
      <c r="NDF4752" s="691"/>
      <c r="NDG4752" s="689"/>
      <c r="NDH4752" s="691"/>
      <c r="NDI4752" s="689"/>
      <c r="NDJ4752" s="691"/>
      <c r="NDK4752" s="689"/>
      <c r="NDL4752" s="691"/>
      <c r="NDM4752" s="689"/>
      <c r="NDN4752" s="691"/>
      <c r="NDO4752" s="689"/>
      <c r="NDP4752" s="691"/>
      <c r="NDQ4752" s="689"/>
      <c r="NDR4752" s="691"/>
      <c r="NDS4752" s="689"/>
      <c r="NDT4752" s="691"/>
      <c r="NDU4752" s="689"/>
      <c r="NDV4752" s="691"/>
      <c r="NDW4752" s="689"/>
      <c r="NDX4752" s="691"/>
      <c r="NDY4752" s="689"/>
      <c r="NDZ4752" s="691"/>
      <c r="NEA4752" s="689"/>
      <c r="NEB4752" s="691"/>
      <c r="NEC4752" s="689"/>
      <c r="NED4752" s="691"/>
      <c r="NEE4752" s="689"/>
      <c r="NEF4752" s="691"/>
      <c r="NEG4752" s="689"/>
      <c r="NEH4752" s="691"/>
      <c r="NEI4752" s="689"/>
      <c r="NEJ4752" s="691"/>
      <c r="NEK4752" s="689"/>
      <c r="NEL4752" s="691"/>
      <c r="NEM4752" s="689"/>
      <c r="NEN4752" s="691"/>
      <c r="NEO4752" s="689"/>
      <c r="NEP4752" s="691"/>
      <c r="NEQ4752" s="689"/>
      <c r="NER4752" s="691"/>
      <c r="NES4752" s="689"/>
      <c r="NET4752" s="691"/>
      <c r="NEU4752" s="689"/>
      <c r="NEV4752" s="691"/>
      <c r="NEW4752" s="689"/>
      <c r="NEX4752" s="691"/>
      <c r="NEY4752" s="689"/>
      <c r="NEZ4752" s="691"/>
      <c r="NFA4752" s="689"/>
      <c r="NFB4752" s="691"/>
      <c r="NFC4752" s="689"/>
      <c r="NFD4752" s="691"/>
      <c r="NFE4752" s="689"/>
      <c r="NFF4752" s="691"/>
      <c r="NFG4752" s="689"/>
      <c r="NFH4752" s="691"/>
      <c r="NFI4752" s="689"/>
      <c r="NFJ4752" s="691"/>
      <c r="NFK4752" s="689"/>
      <c r="NFL4752" s="691"/>
      <c r="NFM4752" s="689"/>
      <c r="NFN4752" s="691"/>
      <c r="NFO4752" s="689"/>
      <c r="NFP4752" s="691"/>
      <c r="NFQ4752" s="689"/>
      <c r="NFR4752" s="691"/>
      <c r="NFS4752" s="689"/>
      <c r="NFT4752" s="691"/>
      <c r="NFU4752" s="689"/>
      <c r="NFV4752" s="691"/>
      <c r="NFW4752" s="689"/>
      <c r="NFX4752" s="691"/>
      <c r="NFY4752" s="689"/>
      <c r="NFZ4752" s="691"/>
      <c r="NGA4752" s="689"/>
      <c r="NGB4752" s="691"/>
      <c r="NGC4752" s="689"/>
      <c r="NGD4752" s="691"/>
      <c r="NGE4752" s="689"/>
      <c r="NGF4752" s="691"/>
      <c r="NGG4752" s="689"/>
      <c r="NGH4752" s="691"/>
      <c r="NGI4752" s="689"/>
      <c r="NGJ4752" s="691"/>
      <c r="NGK4752" s="689"/>
      <c r="NGL4752" s="691"/>
      <c r="NGM4752" s="689"/>
      <c r="NGN4752" s="691"/>
      <c r="NGO4752" s="689"/>
      <c r="NGP4752" s="691"/>
      <c r="NGQ4752" s="689"/>
      <c r="NGR4752" s="691"/>
      <c r="NGS4752" s="689"/>
      <c r="NGT4752" s="691"/>
      <c r="NGU4752" s="689"/>
      <c r="NGV4752" s="691"/>
      <c r="NGW4752" s="689"/>
      <c r="NGX4752" s="691"/>
      <c r="NGY4752" s="689"/>
      <c r="NGZ4752" s="691"/>
      <c r="NHA4752" s="689"/>
      <c r="NHB4752" s="691"/>
      <c r="NHC4752" s="689"/>
      <c r="NHD4752" s="691"/>
      <c r="NHE4752" s="689"/>
      <c r="NHF4752" s="691"/>
      <c r="NHG4752" s="689"/>
      <c r="NHH4752" s="691"/>
      <c r="NHI4752" s="689"/>
      <c r="NHJ4752" s="691"/>
      <c r="NHK4752" s="689"/>
      <c r="NHL4752" s="691"/>
      <c r="NHM4752" s="689"/>
      <c r="NHN4752" s="691"/>
      <c r="NHO4752" s="689"/>
      <c r="NHP4752" s="691"/>
      <c r="NHQ4752" s="689"/>
      <c r="NHR4752" s="691"/>
      <c r="NHS4752" s="689"/>
      <c r="NHT4752" s="691"/>
      <c r="NHU4752" s="689"/>
      <c r="NHV4752" s="691"/>
      <c r="NHW4752" s="689"/>
      <c r="NHX4752" s="691"/>
      <c r="NHY4752" s="689"/>
      <c r="NHZ4752" s="691"/>
      <c r="NIA4752" s="689"/>
      <c r="NIB4752" s="691"/>
      <c r="NIC4752" s="689"/>
      <c r="NID4752" s="691"/>
      <c r="NIE4752" s="689"/>
      <c r="NIF4752" s="691"/>
      <c r="NIG4752" s="689"/>
      <c r="NIH4752" s="691"/>
      <c r="NII4752" s="689"/>
      <c r="NIJ4752" s="691"/>
      <c r="NIK4752" s="689"/>
      <c r="NIL4752" s="691"/>
      <c r="NIM4752" s="689"/>
      <c r="NIN4752" s="691"/>
      <c r="NIO4752" s="689"/>
      <c r="NIP4752" s="691"/>
      <c r="NIQ4752" s="689"/>
      <c r="NIR4752" s="691"/>
      <c r="NIS4752" s="689"/>
      <c r="NIT4752" s="691"/>
      <c r="NIU4752" s="689"/>
      <c r="NIV4752" s="691"/>
      <c r="NIW4752" s="689"/>
      <c r="NIX4752" s="691"/>
      <c r="NIY4752" s="689"/>
      <c r="NIZ4752" s="691"/>
      <c r="NJA4752" s="689"/>
      <c r="NJB4752" s="691"/>
      <c r="NJC4752" s="689"/>
      <c r="NJD4752" s="691"/>
      <c r="NJE4752" s="689"/>
      <c r="NJF4752" s="691"/>
      <c r="NJG4752" s="689"/>
      <c r="NJH4752" s="691"/>
      <c r="NJI4752" s="689"/>
      <c r="NJJ4752" s="691"/>
      <c r="NJK4752" s="689"/>
      <c r="NJL4752" s="691"/>
      <c r="NJM4752" s="689"/>
      <c r="NJN4752" s="691"/>
      <c r="NJO4752" s="689"/>
      <c r="NJP4752" s="691"/>
      <c r="NJQ4752" s="689"/>
      <c r="NJR4752" s="691"/>
      <c r="NJS4752" s="689"/>
      <c r="NJT4752" s="691"/>
      <c r="NJU4752" s="689"/>
      <c r="NJV4752" s="691"/>
      <c r="NJW4752" s="689"/>
      <c r="NJX4752" s="691"/>
      <c r="NJY4752" s="689"/>
      <c r="NJZ4752" s="691"/>
      <c r="NKA4752" s="689"/>
      <c r="NKB4752" s="691"/>
      <c r="NKC4752" s="689"/>
      <c r="NKD4752" s="691"/>
      <c r="NKE4752" s="689"/>
      <c r="NKF4752" s="691"/>
      <c r="NKG4752" s="689"/>
      <c r="NKH4752" s="691"/>
      <c r="NKI4752" s="689"/>
      <c r="NKJ4752" s="691"/>
      <c r="NKK4752" s="689"/>
      <c r="NKL4752" s="691"/>
      <c r="NKM4752" s="689"/>
      <c r="NKN4752" s="691"/>
      <c r="NKO4752" s="689"/>
      <c r="NKP4752" s="691"/>
      <c r="NKQ4752" s="689"/>
      <c r="NKR4752" s="691"/>
      <c r="NKS4752" s="689"/>
      <c r="NKT4752" s="691"/>
      <c r="NKU4752" s="689"/>
      <c r="NKV4752" s="691"/>
      <c r="NKW4752" s="689"/>
      <c r="NKX4752" s="691"/>
      <c r="NKY4752" s="689"/>
      <c r="NKZ4752" s="691"/>
      <c r="NLA4752" s="689"/>
      <c r="NLB4752" s="691"/>
      <c r="NLC4752" s="689"/>
      <c r="NLD4752" s="691"/>
      <c r="NLE4752" s="689"/>
      <c r="NLF4752" s="691"/>
      <c r="NLG4752" s="689"/>
      <c r="NLH4752" s="691"/>
      <c r="NLI4752" s="689"/>
      <c r="NLJ4752" s="691"/>
      <c r="NLK4752" s="689"/>
      <c r="NLL4752" s="691"/>
      <c r="NLM4752" s="689"/>
      <c r="NLN4752" s="691"/>
      <c r="NLO4752" s="689"/>
      <c r="NLP4752" s="691"/>
      <c r="NLQ4752" s="689"/>
      <c r="NLR4752" s="691"/>
      <c r="NLS4752" s="689"/>
      <c r="NLT4752" s="691"/>
      <c r="NLU4752" s="689"/>
      <c r="NLV4752" s="691"/>
      <c r="NLW4752" s="689"/>
      <c r="NLX4752" s="691"/>
      <c r="NLY4752" s="689"/>
      <c r="NLZ4752" s="691"/>
      <c r="NMA4752" s="689"/>
      <c r="NMB4752" s="691"/>
      <c r="NMC4752" s="689"/>
      <c r="NMD4752" s="691"/>
      <c r="NME4752" s="689"/>
      <c r="NMF4752" s="691"/>
      <c r="NMG4752" s="689"/>
      <c r="NMH4752" s="691"/>
      <c r="NMI4752" s="689"/>
      <c r="NMJ4752" s="691"/>
      <c r="NMK4752" s="689"/>
      <c r="NML4752" s="691"/>
      <c r="NMM4752" s="689"/>
      <c r="NMN4752" s="691"/>
      <c r="NMO4752" s="689"/>
      <c r="NMP4752" s="691"/>
      <c r="NMQ4752" s="689"/>
      <c r="NMR4752" s="691"/>
      <c r="NMS4752" s="689"/>
      <c r="NMT4752" s="691"/>
      <c r="NMU4752" s="689"/>
      <c r="NMV4752" s="691"/>
      <c r="NMW4752" s="689"/>
      <c r="NMX4752" s="691"/>
      <c r="NMY4752" s="689"/>
      <c r="NMZ4752" s="691"/>
      <c r="NNA4752" s="689"/>
      <c r="NNB4752" s="691"/>
      <c r="NNC4752" s="689"/>
      <c r="NND4752" s="691"/>
      <c r="NNE4752" s="689"/>
      <c r="NNF4752" s="691"/>
      <c r="NNG4752" s="689"/>
      <c r="NNH4752" s="691"/>
      <c r="NNI4752" s="689"/>
      <c r="NNJ4752" s="691"/>
      <c r="NNK4752" s="689"/>
      <c r="NNL4752" s="691"/>
      <c r="NNM4752" s="689"/>
      <c r="NNN4752" s="691"/>
      <c r="NNO4752" s="689"/>
      <c r="NNP4752" s="691"/>
      <c r="NNQ4752" s="689"/>
      <c r="NNR4752" s="691"/>
      <c r="NNS4752" s="689"/>
      <c r="NNT4752" s="691"/>
      <c r="NNU4752" s="689"/>
      <c r="NNV4752" s="691"/>
      <c r="NNW4752" s="689"/>
      <c r="NNX4752" s="691"/>
      <c r="NNY4752" s="689"/>
      <c r="NNZ4752" s="691"/>
      <c r="NOA4752" s="689"/>
      <c r="NOB4752" s="691"/>
      <c r="NOC4752" s="689"/>
      <c r="NOD4752" s="691"/>
      <c r="NOE4752" s="689"/>
      <c r="NOF4752" s="691"/>
      <c r="NOG4752" s="689"/>
      <c r="NOH4752" s="691"/>
      <c r="NOI4752" s="689"/>
      <c r="NOJ4752" s="691"/>
      <c r="NOK4752" s="689"/>
      <c r="NOL4752" s="691"/>
      <c r="NOM4752" s="689"/>
      <c r="NON4752" s="691"/>
      <c r="NOO4752" s="689"/>
      <c r="NOP4752" s="691"/>
      <c r="NOQ4752" s="689"/>
      <c r="NOR4752" s="691"/>
      <c r="NOS4752" s="689"/>
      <c r="NOT4752" s="691"/>
      <c r="NOU4752" s="689"/>
      <c r="NOV4752" s="691"/>
      <c r="NOW4752" s="689"/>
      <c r="NOX4752" s="691"/>
      <c r="NOY4752" s="689"/>
      <c r="NOZ4752" s="691"/>
      <c r="NPA4752" s="689"/>
      <c r="NPB4752" s="691"/>
      <c r="NPC4752" s="689"/>
      <c r="NPD4752" s="691"/>
      <c r="NPE4752" s="689"/>
      <c r="NPF4752" s="691"/>
      <c r="NPG4752" s="689"/>
      <c r="NPH4752" s="691"/>
      <c r="NPI4752" s="689"/>
      <c r="NPJ4752" s="691"/>
      <c r="NPK4752" s="689"/>
      <c r="NPL4752" s="691"/>
      <c r="NPM4752" s="689"/>
      <c r="NPN4752" s="691"/>
      <c r="NPO4752" s="689"/>
      <c r="NPP4752" s="691"/>
      <c r="NPQ4752" s="689"/>
      <c r="NPR4752" s="691"/>
      <c r="NPS4752" s="689"/>
      <c r="NPT4752" s="691"/>
      <c r="NPU4752" s="689"/>
      <c r="NPV4752" s="691"/>
      <c r="NPW4752" s="689"/>
      <c r="NPX4752" s="691"/>
      <c r="NPY4752" s="689"/>
      <c r="NPZ4752" s="691"/>
      <c r="NQA4752" s="689"/>
      <c r="NQB4752" s="691"/>
      <c r="NQC4752" s="689"/>
      <c r="NQD4752" s="691"/>
      <c r="NQE4752" s="689"/>
      <c r="NQF4752" s="691"/>
      <c r="NQG4752" s="689"/>
      <c r="NQH4752" s="691"/>
      <c r="NQI4752" s="689"/>
      <c r="NQJ4752" s="691"/>
      <c r="NQK4752" s="689"/>
      <c r="NQL4752" s="691"/>
      <c r="NQM4752" s="689"/>
      <c r="NQN4752" s="691"/>
      <c r="NQO4752" s="689"/>
      <c r="NQP4752" s="691"/>
      <c r="NQQ4752" s="689"/>
      <c r="NQR4752" s="691"/>
      <c r="NQS4752" s="689"/>
      <c r="NQT4752" s="691"/>
      <c r="NQU4752" s="689"/>
      <c r="NQV4752" s="691"/>
      <c r="NQW4752" s="689"/>
      <c r="NQX4752" s="691"/>
      <c r="NQY4752" s="689"/>
      <c r="NQZ4752" s="691"/>
      <c r="NRA4752" s="689"/>
      <c r="NRB4752" s="691"/>
      <c r="NRC4752" s="689"/>
      <c r="NRD4752" s="691"/>
      <c r="NRE4752" s="689"/>
      <c r="NRF4752" s="691"/>
      <c r="NRG4752" s="689"/>
      <c r="NRH4752" s="691"/>
      <c r="NRI4752" s="689"/>
      <c r="NRJ4752" s="691"/>
      <c r="NRK4752" s="689"/>
      <c r="NRL4752" s="691"/>
      <c r="NRM4752" s="689"/>
      <c r="NRN4752" s="691"/>
      <c r="NRO4752" s="689"/>
      <c r="NRP4752" s="691"/>
      <c r="NRQ4752" s="689"/>
      <c r="NRR4752" s="691"/>
      <c r="NRS4752" s="689"/>
      <c r="NRT4752" s="691"/>
      <c r="NRU4752" s="689"/>
      <c r="NRV4752" s="691"/>
      <c r="NRW4752" s="689"/>
      <c r="NRX4752" s="691"/>
      <c r="NRY4752" s="689"/>
      <c r="NRZ4752" s="691"/>
      <c r="NSA4752" s="689"/>
      <c r="NSB4752" s="691"/>
      <c r="NSC4752" s="689"/>
      <c r="NSD4752" s="691"/>
      <c r="NSE4752" s="689"/>
      <c r="NSF4752" s="691"/>
      <c r="NSG4752" s="689"/>
      <c r="NSH4752" s="691"/>
      <c r="NSI4752" s="689"/>
      <c r="NSJ4752" s="691"/>
      <c r="NSK4752" s="689"/>
      <c r="NSL4752" s="691"/>
      <c r="NSM4752" s="689"/>
      <c r="NSN4752" s="691"/>
      <c r="NSO4752" s="689"/>
      <c r="NSP4752" s="691"/>
      <c r="NSQ4752" s="689"/>
      <c r="NSR4752" s="691"/>
      <c r="NSS4752" s="689"/>
      <c r="NST4752" s="691"/>
      <c r="NSU4752" s="689"/>
      <c r="NSV4752" s="691"/>
      <c r="NSW4752" s="689"/>
      <c r="NSX4752" s="691"/>
      <c r="NSY4752" s="689"/>
      <c r="NSZ4752" s="691"/>
      <c r="NTA4752" s="689"/>
      <c r="NTB4752" s="691"/>
      <c r="NTC4752" s="689"/>
      <c r="NTD4752" s="691"/>
      <c r="NTE4752" s="689"/>
      <c r="NTF4752" s="691"/>
      <c r="NTG4752" s="689"/>
      <c r="NTH4752" s="691"/>
      <c r="NTI4752" s="689"/>
      <c r="NTJ4752" s="691"/>
      <c r="NTK4752" s="689"/>
      <c r="NTL4752" s="691"/>
      <c r="NTM4752" s="689"/>
      <c r="NTN4752" s="691"/>
      <c r="NTO4752" s="689"/>
      <c r="NTP4752" s="691"/>
      <c r="NTQ4752" s="689"/>
      <c r="NTR4752" s="691"/>
      <c r="NTS4752" s="689"/>
      <c r="NTT4752" s="691"/>
      <c r="NTU4752" s="689"/>
      <c r="NTV4752" s="691"/>
      <c r="NTW4752" s="689"/>
      <c r="NTX4752" s="691"/>
      <c r="NTY4752" s="689"/>
      <c r="NTZ4752" s="691"/>
      <c r="NUA4752" s="689"/>
      <c r="NUB4752" s="691"/>
      <c r="NUC4752" s="689"/>
      <c r="NUD4752" s="691"/>
      <c r="NUE4752" s="689"/>
      <c r="NUF4752" s="691"/>
      <c r="NUG4752" s="689"/>
      <c r="NUH4752" s="691"/>
      <c r="NUI4752" s="689"/>
      <c r="NUJ4752" s="691"/>
      <c r="NUK4752" s="689"/>
      <c r="NUL4752" s="691"/>
      <c r="NUM4752" s="689"/>
      <c r="NUN4752" s="691"/>
      <c r="NUO4752" s="689"/>
      <c r="NUP4752" s="691"/>
      <c r="NUQ4752" s="689"/>
      <c r="NUR4752" s="691"/>
      <c r="NUS4752" s="689"/>
      <c r="NUT4752" s="691"/>
      <c r="NUU4752" s="689"/>
      <c r="NUV4752" s="691"/>
      <c r="NUW4752" s="689"/>
      <c r="NUX4752" s="691"/>
      <c r="NUY4752" s="689"/>
      <c r="NUZ4752" s="691"/>
      <c r="NVA4752" s="689"/>
      <c r="NVB4752" s="691"/>
      <c r="NVC4752" s="689"/>
      <c r="NVD4752" s="691"/>
      <c r="NVE4752" s="689"/>
      <c r="NVF4752" s="691"/>
      <c r="NVG4752" s="689"/>
      <c r="NVH4752" s="691"/>
      <c r="NVI4752" s="689"/>
      <c r="NVJ4752" s="691"/>
      <c r="NVK4752" s="689"/>
      <c r="NVL4752" s="691"/>
      <c r="NVM4752" s="689"/>
      <c r="NVN4752" s="691"/>
      <c r="NVO4752" s="689"/>
      <c r="NVP4752" s="691"/>
      <c r="NVQ4752" s="689"/>
      <c r="NVR4752" s="691"/>
      <c r="NVS4752" s="689"/>
      <c r="NVT4752" s="691"/>
      <c r="NVU4752" s="689"/>
      <c r="NVV4752" s="691"/>
      <c r="NVW4752" s="689"/>
      <c r="NVX4752" s="691"/>
      <c r="NVY4752" s="689"/>
      <c r="NVZ4752" s="691"/>
      <c r="NWA4752" s="689"/>
      <c r="NWB4752" s="691"/>
      <c r="NWC4752" s="689"/>
      <c r="NWD4752" s="691"/>
      <c r="NWE4752" s="689"/>
      <c r="NWF4752" s="691"/>
      <c r="NWG4752" s="689"/>
      <c r="NWH4752" s="691"/>
      <c r="NWI4752" s="689"/>
      <c r="NWJ4752" s="691"/>
      <c r="NWK4752" s="689"/>
      <c r="NWL4752" s="691"/>
      <c r="NWM4752" s="689"/>
      <c r="NWN4752" s="691"/>
      <c r="NWO4752" s="689"/>
      <c r="NWP4752" s="691"/>
      <c r="NWQ4752" s="689"/>
      <c r="NWR4752" s="691"/>
      <c r="NWS4752" s="689"/>
      <c r="NWT4752" s="691"/>
      <c r="NWU4752" s="689"/>
      <c r="NWV4752" s="691"/>
      <c r="NWW4752" s="689"/>
      <c r="NWX4752" s="691"/>
      <c r="NWY4752" s="689"/>
      <c r="NWZ4752" s="691"/>
      <c r="NXA4752" s="689"/>
      <c r="NXB4752" s="691"/>
      <c r="NXC4752" s="689"/>
      <c r="NXD4752" s="691"/>
      <c r="NXE4752" s="689"/>
      <c r="NXF4752" s="691"/>
      <c r="NXG4752" s="689"/>
      <c r="NXH4752" s="691"/>
      <c r="NXI4752" s="689"/>
      <c r="NXJ4752" s="691"/>
      <c r="NXK4752" s="689"/>
      <c r="NXL4752" s="691"/>
      <c r="NXM4752" s="689"/>
      <c r="NXN4752" s="691"/>
      <c r="NXO4752" s="689"/>
      <c r="NXP4752" s="691"/>
      <c r="NXQ4752" s="689"/>
      <c r="NXR4752" s="691"/>
      <c r="NXS4752" s="689"/>
      <c r="NXT4752" s="691"/>
      <c r="NXU4752" s="689"/>
      <c r="NXV4752" s="691"/>
      <c r="NXW4752" s="689"/>
      <c r="NXX4752" s="691"/>
      <c r="NXY4752" s="689"/>
      <c r="NXZ4752" s="691"/>
      <c r="NYA4752" s="689"/>
      <c r="NYB4752" s="691"/>
      <c r="NYC4752" s="689"/>
      <c r="NYD4752" s="691"/>
      <c r="NYE4752" s="689"/>
      <c r="NYF4752" s="691"/>
      <c r="NYG4752" s="689"/>
      <c r="NYH4752" s="691"/>
      <c r="NYI4752" s="689"/>
      <c r="NYJ4752" s="691"/>
      <c r="NYK4752" s="689"/>
      <c r="NYL4752" s="691"/>
      <c r="NYM4752" s="689"/>
      <c r="NYN4752" s="691"/>
      <c r="NYO4752" s="689"/>
      <c r="NYP4752" s="691"/>
      <c r="NYQ4752" s="689"/>
      <c r="NYR4752" s="691"/>
      <c r="NYS4752" s="689"/>
      <c r="NYT4752" s="691"/>
      <c r="NYU4752" s="689"/>
      <c r="NYV4752" s="691"/>
      <c r="NYW4752" s="689"/>
      <c r="NYX4752" s="691"/>
      <c r="NYY4752" s="689"/>
      <c r="NYZ4752" s="691"/>
      <c r="NZA4752" s="689"/>
      <c r="NZB4752" s="691"/>
      <c r="NZC4752" s="689"/>
      <c r="NZD4752" s="691"/>
      <c r="NZE4752" s="689"/>
      <c r="NZF4752" s="691"/>
      <c r="NZG4752" s="689"/>
      <c r="NZH4752" s="691"/>
      <c r="NZI4752" s="689"/>
      <c r="NZJ4752" s="691"/>
      <c r="NZK4752" s="689"/>
      <c r="NZL4752" s="691"/>
      <c r="NZM4752" s="689"/>
      <c r="NZN4752" s="691"/>
      <c r="NZO4752" s="689"/>
      <c r="NZP4752" s="691"/>
      <c r="NZQ4752" s="689"/>
      <c r="NZR4752" s="691"/>
      <c r="NZS4752" s="689"/>
      <c r="NZT4752" s="691"/>
      <c r="NZU4752" s="689"/>
      <c r="NZV4752" s="691"/>
      <c r="NZW4752" s="689"/>
      <c r="NZX4752" s="691"/>
      <c r="NZY4752" s="689"/>
      <c r="NZZ4752" s="691"/>
      <c r="OAA4752" s="689"/>
      <c r="OAB4752" s="691"/>
      <c r="OAC4752" s="689"/>
      <c r="OAD4752" s="691"/>
      <c r="OAE4752" s="689"/>
      <c r="OAF4752" s="691"/>
      <c r="OAG4752" s="689"/>
      <c r="OAH4752" s="691"/>
      <c r="OAI4752" s="689"/>
      <c r="OAJ4752" s="691"/>
      <c r="OAK4752" s="689"/>
      <c r="OAL4752" s="691"/>
      <c r="OAM4752" s="689"/>
      <c r="OAN4752" s="691"/>
      <c r="OAO4752" s="689"/>
      <c r="OAP4752" s="691"/>
      <c r="OAQ4752" s="689"/>
      <c r="OAR4752" s="691"/>
      <c r="OAS4752" s="689"/>
      <c r="OAT4752" s="691"/>
      <c r="OAU4752" s="689"/>
      <c r="OAV4752" s="691"/>
      <c r="OAW4752" s="689"/>
      <c r="OAX4752" s="691"/>
      <c r="OAY4752" s="689"/>
      <c r="OAZ4752" s="691"/>
      <c r="OBA4752" s="689"/>
      <c r="OBB4752" s="691"/>
      <c r="OBC4752" s="689"/>
      <c r="OBD4752" s="691"/>
      <c r="OBE4752" s="689"/>
      <c r="OBF4752" s="691"/>
      <c r="OBG4752" s="689"/>
      <c r="OBH4752" s="691"/>
      <c r="OBI4752" s="689"/>
      <c r="OBJ4752" s="691"/>
      <c r="OBK4752" s="689"/>
      <c r="OBL4752" s="691"/>
      <c r="OBM4752" s="689"/>
      <c r="OBN4752" s="691"/>
      <c r="OBO4752" s="689"/>
      <c r="OBP4752" s="691"/>
      <c r="OBQ4752" s="689"/>
      <c r="OBR4752" s="691"/>
      <c r="OBS4752" s="689"/>
      <c r="OBT4752" s="691"/>
      <c r="OBU4752" s="689"/>
      <c r="OBV4752" s="691"/>
      <c r="OBW4752" s="689"/>
      <c r="OBX4752" s="691"/>
      <c r="OBY4752" s="689"/>
      <c r="OBZ4752" s="691"/>
      <c r="OCA4752" s="689"/>
      <c r="OCB4752" s="691"/>
      <c r="OCC4752" s="689"/>
      <c r="OCD4752" s="691"/>
      <c r="OCE4752" s="689"/>
      <c r="OCF4752" s="691"/>
      <c r="OCG4752" s="689"/>
      <c r="OCH4752" s="691"/>
      <c r="OCI4752" s="689"/>
      <c r="OCJ4752" s="691"/>
      <c r="OCK4752" s="689"/>
      <c r="OCL4752" s="691"/>
      <c r="OCM4752" s="689"/>
      <c r="OCN4752" s="691"/>
      <c r="OCO4752" s="689"/>
      <c r="OCP4752" s="691"/>
      <c r="OCQ4752" s="689"/>
      <c r="OCR4752" s="691"/>
      <c r="OCS4752" s="689"/>
      <c r="OCT4752" s="691"/>
      <c r="OCU4752" s="689"/>
      <c r="OCV4752" s="691"/>
      <c r="OCW4752" s="689"/>
      <c r="OCX4752" s="691"/>
      <c r="OCY4752" s="689"/>
      <c r="OCZ4752" s="691"/>
      <c r="ODA4752" s="689"/>
      <c r="ODB4752" s="691"/>
      <c r="ODC4752" s="689"/>
      <c r="ODD4752" s="691"/>
      <c r="ODE4752" s="689"/>
      <c r="ODF4752" s="691"/>
      <c r="ODG4752" s="689"/>
      <c r="ODH4752" s="691"/>
      <c r="ODI4752" s="689"/>
      <c r="ODJ4752" s="691"/>
      <c r="ODK4752" s="689"/>
      <c r="ODL4752" s="691"/>
      <c r="ODM4752" s="689"/>
      <c r="ODN4752" s="691"/>
      <c r="ODO4752" s="689"/>
      <c r="ODP4752" s="691"/>
      <c r="ODQ4752" s="689"/>
      <c r="ODR4752" s="691"/>
      <c r="ODS4752" s="689"/>
      <c r="ODT4752" s="691"/>
      <c r="ODU4752" s="689"/>
      <c r="ODV4752" s="691"/>
      <c r="ODW4752" s="689"/>
      <c r="ODX4752" s="691"/>
      <c r="ODY4752" s="689"/>
      <c r="ODZ4752" s="691"/>
      <c r="OEA4752" s="689"/>
      <c r="OEB4752" s="691"/>
      <c r="OEC4752" s="689"/>
      <c r="OED4752" s="691"/>
      <c r="OEE4752" s="689"/>
      <c r="OEF4752" s="691"/>
      <c r="OEG4752" s="689"/>
      <c r="OEH4752" s="691"/>
      <c r="OEI4752" s="689"/>
      <c r="OEJ4752" s="691"/>
      <c r="OEK4752" s="689"/>
      <c r="OEL4752" s="691"/>
      <c r="OEM4752" s="689"/>
      <c r="OEN4752" s="691"/>
      <c r="OEO4752" s="689"/>
      <c r="OEP4752" s="691"/>
      <c r="OEQ4752" s="689"/>
      <c r="OER4752" s="691"/>
      <c r="OES4752" s="689"/>
      <c r="OET4752" s="691"/>
      <c r="OEU4752" s="689"/>
      <c r="OEV4752" s="691"/>
      <c r="OEW4752" s="689"/>
      <c r="OEX4752" s="691"/>
      <c r="OEY4752" s="689"/>
      <c r="OEZ4752" s="691"/>
      <c r="OFA4752" s="689"/>
      <c r="OFB4752" s="691"/>
      <c r="OFC4752" s="689"/>
      <c r="OFD4752" s="691"/>
      <c r="OFE4752" s="689"/>
      <c r="OFF4752" s="691"/>
      <c r="OFG4752" s="689"/>
      <c r="OFH4752" s="691"/>
      <c r="OFI4752" s="689"/>
      <c r="OFJ4752" s="691"/>
      <c r="OFK4752" s="689"/>
      <c r="OFL4752" s="691"/>
      <c r="OFM4752" s="689"/>
      <c r="OFN4752" s="691"/>
      <c r="OFO4752" s="689"/>
      <c r="OFP4752" s="691"/>
      <c r="OFQ4752" s="689"/>
      <c r="OFR4752" s="691"/>
      <c r="OFS4752" s="689"/>
      <c r="OFT4752" s="691"/>
      <c r="OFU4752" s="689"/>
      <c r="OFV4752" s="691"/>
      <c r="OFW4752" s="689"/>
      <c r="OFX4752" s="691"/>
      <c r="OFY4752" s="689"/>
      <c r="OFZ4752" s="691"/>
      <c r="OGA4752" s="689"/>
      <c r="OGB4752" s="691"/>
      <c r="OGC4752" s="689"/>
      <c r="OGD4752" s="691"/>
      <c r="OGE4752" s="689"/>
      <c r="OGF4752" s="691"/>
      <c r="OGG4752" s="689"/>
      <c r="OGH4752" s="691"/>
      <c r="OGI4752" s="689"/>
      <c r="OGJ4752" s="691"/>
      <c r="OGK4752" s="689"/>
      <c r="OGL4752" s="691"/>
      <c r="OGM4752" s="689"/>
      <c r="OGN4752" s="691"/>
      <c r="OGO4752" s="689"/>
      <c r="OGP4752" s="691"/>
      <c r="OGQ4752" s="689"/>
      <c r="OGR4752" s="691"/>
      <c r="OGS4752" s="689"/>
      <c r="OGT4752" s="691"/>
      <c r="OGU4752" s="689"/>
      <c r="OGV4752" s="691"/>
      <c r="OGW4752" s="689"/>
      <c r="OGX4752" s="691"/>
      <c r="OGY4752" s="689"/>
      <c r="OGZ4752" s="691"/>
      <c r="OHA4752" s="689"/>
      <c r="OHB4752" s="691"/>
      <c r="OHC4752" s="689"/>
      <c r="OHD4752" s="691"/>
      <c r="OHE4752" s="689"/>
      <c r="OHF4752" s="691"/>
      <c r="OHG4752" s="689"/>
      <c r="OHH4752" s="691"/>
      <c r="OHI4752" s="689"/>
      <c r="OHJ4752" s="691"/>
      <c r="OHK4752" s="689"/>
      <c r="OHL4752" s="691"/>
      <c r="OHM4752" s="689"/>
      <c r="OHN4752" s="691"/>
      <c r="OHO4752" s="689"/>
      <c r="OHP4752" s="691"/>
      <c r="OHQ4752" s="689"/>
      <c r="OHR4752" s="691"/>
      <c r="OHS4752" s="689"/>
      <c r="OHT4752" s="691"/>
      <c r="OHU4752" s="689"/>
      <c r="OHV4752" s="691"/>
      <c r="OHW4752" s="689"/>
      <c r="OHX4752" s="691"/>
      <c r="OHY4752" s="689"/>
      <c r="OHZ4752" s="691"/>
      <c r="OIA4752" s="689"/>
      <c r="OIB4752" s="691"/>
      <c r="OIC4752" s="689"/>
      <c r="OID4752" s="691"/>
      <c r="OIE4752" s="689"/>
      <c r="OIF4752" s="691"/>
      <c r="OIG4752" s="689"/>
      <c r="OIH4752" s="691"/>
      <c r="OII4752" s="689"/>
      <c r="OIJ4752" s="691"/>
      <c r="OIK4752" s="689"/>
      <c r="OIL4752" s="691"/>
      <c r="OIM4752" s="689"/>
      <c r="OIN4752" s="691"/>
      <c r="OIO4752" s="689"/>
      <c r="OIP4752" s="691"/>
      <c r="OIQ4752" s="689"/>
      <c r="OIR4752" s="691"/>
      <c r="OIS4752" s="689"/>
      <c r="OIT4752" s="691"/>
      <c r="OIU4752" s="689"/>
      <c r="OIV4752" s="691"/>
      <c r="OIW4752" s="689"/>
      <c r="OIX4752" s="691"/>
      <c r="OIY4752" s="689"/>
      <c r="OIZ4752" s="691"/>
      <c r="OJA4752" s="689"/>
      <c r="OJB4752" s="691"/>
      <c r="OJC4752" s="689"/>
      <c r="OJD4752" s="691"/>
      <c r="OJE4752" s="689"/>
      <c r="OJF4752" s="691"/>
      <c r="OJG4752" s="689"/>
      <c r="OJH4752" s="691"/>
      <c r="OJI4752" s="689"/>
      <c r="OJJ4752" s="691"/>
      <c r="OJK4752" s="689"/>
      <c r="OJL4752" s="691"/>
      <c r="OJM4752" s="689"/>
      <c r="OJN4752" s="691"/>
      <c r="OJO4752" s="689"/>
      <c r="OJP4752" s="691"/>
      <c r="OJQ4752" s="689"/>
      <c r="OJR4752" s="691"/>
      <c r="OJS4752" s="689"/>
      <c r="OJT4752" s="691"/>
      <c r="OJU4752" s="689"/>
      <c r="OJV4752" s="691"/>
      <c r="OJW4752" s="689"/>
      <c r="OJX4752" s="691"/>
      <c r="OJY4752" s="689"/>
      <c r="OJZ4752" s="691"/>
      <c r="OKA4752" s="689"/>
      <c r="OKB4752" s="691"/>
      <c r="OKC4752" s="689"/>
      <c r="OKD4752" s="691"/>
      <c r="OKE4752" s="689"/>
      <c r="OKF4752" s="691"/>
      <c r="OKG4752" s="689"/>
      <c r="OKH4752" s="691"/>
      <c r="OKI4752" s="689"/>
      <c r="OKJ4752" s="691"/>
      <c r="OKK4752" s="689"/>
      <c r="OKL4752" s="691"/>
      <c r="OKM4752" s="689"/>
      <c r="OKN4752" s="691"/>
      <c r="OKO4752" s="689"/>
      <c r="OKP4752" s="691"/>
      <c r="OKQ4752" s="689"/>
      <c r="OKR4752" s="691"/>
      <c r="OKS4752" s="689"/>
      <c r="OKT4752" s="691"/>
      <c r="OKU4752" s="689"/>
      <c r="OKV4752" s="691"/>
      <c r="OKW4752" s="689"/>
      <c r="OKX4752" s="691"/>
      <c r="OKY4752" s="689"/>
      <c r="OKZ4752" s="691"/>
      <c r="OLA4752" s="689"/>
      <c r="OLB4752" s="691"/>
      <c r="OLC4752" s="689"/>
      <c r="OLD4752" s="691"/>
      <c r="OLE4752" s="689"/>
      <c r="OLF4752" s="691"/>
      <c r="OLG4752" s="689"/>
      <c r="OLH4752" s="691"/>
      <c r="OLI4752" s="689"/>
      <c r="OLJ4752" s="691"/>
      <c r="OLK4752" s="689"/>
      <c r="OLL4752" s="691"/>
      <c r="OLM4752" s="689"/>
      <c r="OLN4752" s="691"/>
      <c r="OLO4752" s="689"/>
      <c r="OLP4752" s="691"/>
      <c r="OLQ4752" s="689"/>
      <c r="OLR4752" s="691"/>
      <c r="OLS4752" s="689"/>
      <c r="OLT4752" s="691"/>
      <c r="OLU4752" s="689"/>
      <c r="OLV4752" s="691"/>
      <c r="OLW4752" s="689"/>
      <c r="OLX4752" s="691"/>
      <c r="OLY4752" s="689"/>
      <c r="OLZ4752" s="691"/>
      <c r="OMA4752" s="689"/>
      <c r="OMB4752" s="691"/>
      <c r="OMC4752" s="689"/>
      <c r="OMD4752" s="691"/>
      <c r="OME4752" s="689"/>
      <c r="OMF4752" s="691"/>
      <c r="OMG4752" s="689"/>
      <c r="OMH4752" s="691"/>
      <c r="OMI4752" s="689"/>
      <c r="OMJ4752" s="691"/>
      <c r="OMK4752" s="689"/>
      <c r="OML4752" s="691"/>
      <c r="OMM4752" s="689"/>
      <c r="OMN4752" s="691"/>
      <c r="OMO4752" s="689"/>
      <c r="OMP4752" s="691"/>
      <c r="OMQ4752" s="689"/>
      <c r="OMR4752" s="691"/>
      <c r="OMS4752" s="689"/>
      <c r="OMT4752" s="691"/>
      <c r="OMU4752" s="689"/>
      <c r="OMV4752" s="691"/>
      <c r="OMW4752" s="689"/>
      <c r="OMX4752" s="691"/>
      <c r="OMY4752" s="689"/>
      <c r="OMZ4752" s="691"/>
      <c r="ONA4752" s="689"/>
      <c r="ONB4752" s="691"/>
      <c r="ONC4752" s="689"/>
      <c r="OND4752" s="691"/>
      <c r="ONE4752" s="689"/>
      <c r="ONF4752" s="691"/>
      <c r="ONG4752" s="689"/>
      <c r="ONH4752" s="691"/>
      <c r="ONI4752" s="689"/>
      <c r="ONJ4752" s="691"/>
      <c r="ONK4752" s="689"/>
      <c r="ONL4752" s="691"/>
      <c r="ONM4752" s="689"/>
      <c r="ONN4752" s="691"/>
      <c r="ONO4752" s="689"/>
      <c r="ONP4752" s="691"/>
      <c r="ONQ4752" s="689"/>
      <c r="ONR4752" s="691"/>
      <c r="ONS4752" s="689"/>
      <c r="ONT4752" s="691"/>
      <c r="ONU4752" s="689"/>
      <c r="ONV4752" s="691"/>
      <c r="ONW4752" s="689"/>
      <c r="ONX4752" s="691"/>
      <c r="ONY4752" s="689"/>
      <c r="ONZ4752" s="691"/>
      <c r="OOA4752" s="689"/>
      <c r="OOB4752" s="691"/>
      <c r="OOC4752" s="689"/>
      <c r="OOD4752" s="691"/>
      <c r="OOE4752" s="689"/>
      <c r="OOF4752" s="691"/>
      <c r="OOG4752" s="689"/>
      <c r="OOH4752" s="691"/>
      <c r="OOI4752" s="689"/>
      <c r="OOJ4752" s="691"/>
      <c r="OOK4752" s="689"/>
      <c r="OOL4752" s="691"/>
      <c r="OOM4752" s="689"/>
      <c r="OON4752" s="691"/>
      <c r="OOO4752" s="689"/>
      <c r="OOP4752" s="691"/>
      <c r="OOQ4752" s="689"/>
      <c r="OOR4752" s="691"/>
      <c r="OOS4752" s="689"/>
      <c r="OOT4752" s="691"/>
      <c r="OOU4752" s="689"/>
      <c r="OOV4752" s="691"/>
      <c r="OOW4752" s="689"/>
      <c r="OOX4752" s="691"/>
      <c r="OOY4752" s="689"/>
      <c r="OOZ4752" s="691"/>
      <c r="OPA4752" s="689"/>
      <c r="OPB4752" s="691"/>
      <c r="OPC4752" s="689"/>
      <c r="OPD4752" s="691"/>
      <c r="OPE4752" s="689"/>
      <c r="OPF4752" s="691"/>
      <c r="OPG4752" s="689"/>
      <c r="OPH4752" s="691"/>
      <c r="OPI4752" s="689"/>
      <c r="OPJ4752" s="691"/>
      <c r="OPK4752" s="689"/>
      <c r="OPL4752" s="691"/>
      <c r="OPM4752" s="689"/>
      <c r="OPN4752" s="691"/>
      <c r="OPO4752" s="689"/>
      <c r="OPP4752" s="691"/>
      <c r="OPQ4752" s="689"/>
      <c r="OPR4752" s="691"/>
      <c r="OPS4752" s="689"/>
      <c r="OPT4752" s="691"/>
      <c r="OPU4752" s="689"/>
      <c r="OPV4752" s="691"/>
      <c r="OPW4752" s="689"/>
      <c r="OPX4752" s="691"/>
      <c r="OPY4752" s="689"/>
      <c r="OPZ4752" s="691"/>
      <c r="OQA4752" s="689"/>
      <c r="OQB4752" s="691"/>
      <c r="OQC4752" s="689"/>
      <c r="OQD4752" s="691"/>
      <c r="OQE4752" s="689"/>
      <c r="OQF4752" s="691"/>
      <c r="OQG4752" s="689"/>
      <c r="OQH4752" s="691"/>
      <c r="OQI4752" s="689"/>
      <c r="OQJ4752" s="691"/>
      <c r="OQK4752" s="689"/>
      <c r="OQL4752" s="691"/>
      <c r="OQM4752" s="689"/>
      <c r="OQN4752" s="691"/>
      <c r="OQO4752" s="689"/>
      <c r="OQP4752" s="691"/>
      <c r="OQQ4752" s="689"/>
      <c r="OQR4752" s="691"/>
      <c r="OQS4752" s="689"/>
      <c r="OQT4752" s="691"/>
      <c r="OQU4752" s="689"/>
      <c r="OQV4752" s="691"/>
      <c r="OQW4752" s="689"/>
      <c r="OQX4752" s="691"/>
      <c r="OQY4752" s="689"/>
      <c r="OQZ4752" s="691"/>
      <c r="ORA4752" s="689"/>
      <c r="ORB4752" s="691"/>
      <c r="ORC4752" s="689"/>
      <c r="ORD4752" s="691"/>
      <c r="ORE4752" s="689"/>
      <c r="ORF4752" s="691"/>
      <c r="ORG4752" s="689"/>
      <c r="ORH4752" s="691"/>
      <c r="ORI4752" s="689"/>
      <c r="ORJ4752" s="691"/>
      <c r="ORK4752" s="689"/>
      <c r="ORL4752" s="691"/>
      <c r="ORM4752" s="689"/>
      <c r="ORN4752" s="691"/>
      <c r="ORO4752" s="689"/>
      <c r="ORP4752" s="691"/>
      <c r="ORQ4752" s="689"/>
      <c r="ORR4752" s="691"/>
      <c r="ORS4752" s="689"/>
      <c r="ORT4752" s="691"/>
      <c r="ORU4752" s="689"/>
      <c r="ORV4752" s="691"/>
      <c r="ORW4752" s="689"/>
      <c r="ORX4752" s="691"/>
      <c r="ORY4752" s="689"/>
      <c r="ORZ4752" s="691"/>
      <c r="OSA4752" s="689"/>
      <c r="OSB4752" s="691"/>
      <c r="OSC4752" s="689"/>
      <c r="OSD4752" s="691"/>
      <c r="OSE4752" s="689"/>
      <c r="OSF4752" s="691"/>
      <c r="OSG4752" s="689"/>
      <c r="OSH4752" s="691"/>
      <c r="OSI4752" s="689"/>
      <c r="OSJ4752" s="691"/>
      <c r="OSK4752" s="689"/>
      <c r="OSL4752" s="691"/>
      <c r="OSM4752" s="689"/>
      <c r="OSN4752" s="691"/>
      <c r="OSO4752" s="689"/>
      <c r="OSP4752" s="691"/>
      <c r="OSQ4752" s="689"/>
      <c r="OSR4752" s="691"/>
      <c r="OSS4752" s="689"/>
      <c r="OST4752" s="691"/>
      <c r="OSU4752" s="689"/>
      <c r="OSV4752" s="691"/>
      <c r="OSW4752" s="689"/>
      <c r="OSX4752" s="691"/>
      <c r="OSY4752" s="689"/>
      <c r="OSZ4752" s="691"/>
      <c r="OTA4752" s="689"/>
      <c r="OTB4752" s="691"/>
      <c r="OTC4752" s="689"/>
      <c r="OTD4752" s="691"/>
      <c r="OTE4752" s="689"/>
      <c r="OTF4752" s="691"/>
      <c r="OTG4752" s="689"/>
      <c r="OTH4752" s="691"/>
      <c r="OTI4752" s="689"/>
      <c r="OTJ4752" s="691"/>
      <c r="OTK4752" s="689"/>
      <c r="OTL4752" s="691"/>
      <c r="OTM4752" s="689"/>
      <c r="OTN4752" s="691"/>
      <c r="OTO4752" s="689"/>
      <c r="OTP4752" s="691"/>
      <c r="OTQ4752" s="689"/>
      <c r="OTR4752" s="691"/>
      <c r="OTS4752" s="689"/>
      <c r="OTT4752" s="691"/>
      <c r="OTU4752" s="689"/>
      <c r="OTV4752" s="691"/>
      <c r="OTW4752" s="689"/>
      <c r="OTX4752" s="691"/>
      <c r="OTY4752" s="689"/>
      <c r="OTZ4752" s="691"/>
      <c r="OUA4752" s="689"/>
      <c r="OUB4752" s="691"/>
      <c r="OUC4752" s="689"/>
      <c r="OUD4752" s="691"/>
      <c r="OUE4752" s="689"/>
      <c r="OUF4752" s="691"/>
      <c r="OUG4752" s="689"/>
      <c r="OUH4752" s="691"/>
      <c r="OUI4752" s="689"/>
      <c r="OUJ4752" s="691"/>
      <c r="OUK4752" s="689"/>
      <c r="OUL4752" s="691"/>
      <c r="OUM4752" s="689"/>
      <c r="OUN4752" s="691"/>
      <c r="OUO4752" s="689"/>
      <c r="OUP4752" s="691"/>
      <c r="OUQ4752" s="689"/>
      <c r="OUR4752" s="691"/>
      <c r="OUS4752" s="689"/>
      <c r="OUT4752" s="691"/>
      <c r="OUU4752" s="689"/>
      <c r="OUV4752" s="691"/>
      <c r="OUW4752" s="689"/>
      <c r="OUX4752" s="691"/>
      <c r="OUY4752" s="689"/>
      <c r="OUZ4752" s="691"/>
      <c r="OVA4752" s="689"/>
      <c r="OVB4752" s="691"/>
      <c r="OVC4752" s="689"/>
      <c r="OVD4752" s="691"/>
      <c r="OVE4752" s="689"/>
      <c r="OVF4752" s="691"/>
      <c r="OVG4752" s="689"/>
      <c r="OVH4752" s="691"/>
      <c r="OVI4752" s="689"/>
      <c r="OVJ4752" s="691"/>
      <c r="OVK4752" s="689"/>
      <c r="OVL4752" s="691"/>
      <c r="OVM4752" s="689"/>
      <c r="OVN4752" s="691"/>
      <c r="OVO4752" s="689"/>
      <c r="OVP4752" s="691"/>
      <c r="OVQ4752" s="689"/>
      <c r="OVR4752" s="691"/>
      <c r="OVS4752" s="689"/>
      <c r="OVT4752" s="691"/>
      <c r="OVU4752" s="689"/>
      <c r="OVV4752" s="691"/>
      <c r="OVW4752" s="689"/>
      <c r="OVX4752" s="691"/>
      <c r="OVY4752" s="689"/>
      <c r="OVZ4752" s="691"/>
      <c r="OWA4752" s="689"/>
      <c r="OWB4752" s="691"/>
      <c r="OWC4752" s="689"/>
      <c r="OWD4752" s="691"/>
      <c r="OWE4752" s="689"/>
      <c r="OWF4752" s="691"/>
      <c r="OWG4752" s="689"/>
      <c r="OWH4752" s="691"/>
      <c r="OWI4752" s="689"/>
      <c r="OWJ4752" s="691"/>
      <c r="OWK4752" s="689"/>
      <c r="OWL4752" s="691"/>
      <c r="OWM4752" s="689"/>
      <c r="OWN4752" s="691"/>
      <c r="OWO4752" s="689"/>
      <c r="OWP4752" s="691"/>
      <c r="OWQ4752" s="689"/>
      <c r="OWR4752" s="691"/>
      <c r="OWS4752" s="689"/>
      <c r="OWT4752" s="691"/>
      <c r="OWU4752" s="689"/>
      <c r="OWV4752" s="691"/>
      <c r="OWW4752" s="689"/>
      <c r="OWX4752" s="691"/>
      <c r="OWY4752" s="689"/>
      <c r="OWZ4752" s="691"/>
      <c r="OXA4752" s="689"/>
      <c r="OXB4752" s="691"/>
      <c r="OXC4752" s="689"/>
      <c r="OXD4752" s="691"/>
      <c r="OXE4752" s="689"/>
      <c r="OXF4752" s="691"/>
      <c r="OXG4752" s="689"/>
      <c r="OXH4752" s="691"/>
      <c r="OXI4752" s="689"/>
      <c r="OXJ4752" s="691"/>
      <c r="OXK4752" s="689"/>
      <c r="OXL4752" s="691"/>
      <c r="OXM4752" s="689"/>
      <c r="OXN4752" s="691"/>
      <c r="OXO4752" s="689"/>
      <c r="OXP4752" s="691"/>
      <c r="OXQ4752" s="689"/>
      <c r="OXR4752" s="691"/>
      <c r="OXS4752" s="689"/>
      <c r="OXT4752" s="691"/>
      <c r="OXU4752" s="689"/>
      <c r="OXV4752" s="691"/>
      <c r="OXW4752" s="689"/>
      <c r="OXX4752" s="691"/>
      <c r="OXY4752" s="689"/>
      <c r="OXZ4752" s="691"/>
      <c r="OYA4752" s="689"/>
      <c r="OYB4752" s="691"/>
      <c r="OYC4752" s="689"/>
      <c r="OYD4752" s="691"/>
      <c r="OYE4752" s="689"/>
      <c r="OYF4752" s="691"/>
      <c r="OYG4752" s="689"/>
      <c r="OYH4752" s="691"/>
      <c r="OYI4752" s="689"/>
      <c r="OYJ4752" s="691"/>
      <c r="OYK4752" s="689"/>
      <c r="OYL4752" s="691"/>
      <c r="OYM4752" s="689"/>
      <c r="OYN4752" s="691"/>
      <c r="OYO4752" s="689"/>
      <c r="OYP4752" s="691"/>
      <c r="OYQ4752" s="689"/>
      <c r="OYR4752" s="691"/>
      <c r="OYS4752" s="689"/>
      <c r="OYT4752" s="691"/>
      <c r="OYU4752" s="689"/>
      <c r="OYV4752" s="691"/>
      <c r="OYW4752" s="689"/>
      <c r="OYX4752" s="691"/>
      <c r="OYY4752" s="689"/>
      <c r="OYZ4752" s="691"/>
      <c r="OZA4752" s="689"/>
      <c r="OZB4752" s="691"/>
      <c r="OZC4752" s="689"/>
      <c r="OZD4752" s="691"/>
      <c r="OZE4752" s="689"/>
      <c r="OZF4752" s="691"/>
      <c r="OZG4752" s="689"/>
      <c r="OZH4752" s="691"/>
      <c r="OZI4752" s="689"/>
      <c r="OZJ4752" s="691"/>
      <c r="OZK4752" s="689"/>
      <c r="OZL4752" s="691"/>
      <c r="OZM4752" s="689"/>
      <c r="OZN4752" s="691"/>
      <c r="OZO4752" s="689"/>
      <c r="OZP4752" s="691"/>
      <c r="OZQ4752" s="689"/>
      <c r="OZR4752" s="691"/>
      <c r="OZS4752" s="689"/>
      <c r="OZT4752" s="691"/>
      <c r="OZU4752" s="689"/>
      <c r="OZV4752" s="691"/>
      <c r="OZW4752" s="689"/>
      <c r="OZX4752" s="691"/>
      <c r="OZY4752" s="689"/>
      <c r="OZZ4752" s="691"/>
      <c r="PAA4752" s="689"/>
      <c r="PAB4752" s="691"/>
      <c r="PAC4752" s="689"/>
      <c r="PAD4752" s="691"/>
      <c r="PAE4752" s="689"/>
      <c r="PAF4752" s="691"/>
      <c r="PAG4752" s="689"/>
      <c r="PAH4752" s="691"/>
      <c r="PAI4752" s="689"/>
      <c r="PAJ4752" s="691"/>
      <c r="PAK4752" s="689"/>
      <c r="PAL4752" s="691"/>
      <c r="PAM4752" s="689"/>
      <c r="PAN4752" s="691"/>
      <c r="PAO4752" s="689"/>
      <c r="PAP4752" s="691"/>
      <c r="PAQ4752" s="689"/>
      <c r="PAR4752" s="691"/>
      <c r="PAS4752" s="689"/>
      <c r="PAT4752" s="691"/>
      <c r="PAU4752" s="689"/>
      <c r="PAV4752" s="691"/>
      <c r="PAW4752" s="689"/>
      <c r="PAX4752" s="691"/>
      <c r="PAY4752" s="689"/>
      <c r="PAZ4752" s="691"/>
      <c r="PBA4752" s="689"/>
      <c r="PBB4752" s="691"/>
      <c r="PBC4752" s="689"/>
      <c r="PBD4752" s="691"/>
      <c r="PBE4752" s="689"/>
      <c r="PBF4752" s="691"/>
      <c r="PBG4752" s="689"/>
      <c r="PBH4752" s="691"/>
      <c r="PBI4752" s="689"/>
      <c r="PBJ4752" s="691"/>
      <c r="PBK4752" s="689"/>
      <c r="PBL4752" s="691"/>
      <c r="PBM4752" s="689"/>
      <c r="PBN4752" s="691"/>
      <c r="PBO4752" s="689"/>
      <c r="PBP4752" s="691"/>
      <c r="PBQ4752" s="689"/>
      <c r="PBR4752" s="691"/>
      <c r="PBS4752" s="689"/>
      <c r="PBT4752" s="691"/>
      <c r="PBU4752" s="689"/>
      <c r="PBV4752" s="691"/>
      <c r="PBW4752" s="689"/>
      <c r="PBX4752" s="691"/>
      <c r="PBY4752" s="689"/>
      <c r="PBZ4752" s="691"/>
      <c r="PCA4752" s="689"/>
      <c r="PCB4752" s="691"/>
      <c r="PCC4752" s="689"/>
      <c r="PCD4752" s="691"/>
      <c r="PCE4752" s="689"/>
      <c r="PCF4752" s="691"/>
      <c r="PCG4752" s="689"/>
      <c r="PCH4752" s="691"/>
      <c r="PCI4752" s="689"/>
      <c r="PCJ4752" s="691"/>
      <c r="PCK4752" s="689"/>
      <c r="PCL4752" s="691"/>
      <c r="PCM4752" s="689"/>
      <c r="PCN4752" s="691"/>
      <c r="PCO4752" s="689"/>
      <c r="PCP4752" s="691"/>
      <c r="PCQ4752" s="689"/>
      <c r="PCR4752" s="691"/>
      <c r="PCS4752" s="689"/>
      <c r="PCT4752" s="691"/>
      <c r="PCU4752" s="689"/>
      <c r="PCV4752" s="691"/>
      <c r="PCW4752" s="689"/>
      <c r="PCX4752" s="691"/>
      <c r="PCY4752" s="689"/>
      <c r="PCZ4752" s="691"/>
      <c r="PDA4752" s="689"/>
      <c r="PDB4752" s="691"/>
      <c r="PDC4752" s="689"/>
      <c r="PDD4752" s="691"/>
      <c r="PDE4752" s="689"/>
      <c r="PDF4752" s="691"/>
      <c r="PDG4752" s="689"/>
      <c r="PDH4752" s="691"/>
      <c r="PDI4752" s="689"/>
      <c r="PDJ4752" s="691"/>
      <c r="PDK4752" s="689"/>
      <c r="PDL4752" s="691"/>
      <c r="PDM4752" s="689"/>
      <c r="PDN4752" s="691"/>
      <c r="PDO4752" s="689"/>
      <c r="PDP4752" s="691"/>
      <c r="PDQ4752" s="689"/>
      <c r="PDR4752" s="691"/>
      <c r="PDS4752" s="689"/>
      <c r="PDT4752" s="691"/>
      <c r="PDU4752" s="689"/>
      <c r="PDV4752" s="691"/>
      <c r="PDW4752" s="689"/>
      <c r="PDX4752" s="691"/>
      <c r="PDY4752" s="689"/>
      <c r="PDZ4752" s="691"/>
      <c r="PEA4752" s="689"/>
      <c r="PEB4752" s="691"/>
      <c r="PEC4752" s="689"/>
      <c r="PED4752" s="691"/>
      <c r="PEE4752" s="689"/>
      <c r="PEF4752" s="691"/>
      <c r="PEG4752" s="689"/>
      <c r="PEH4752" s="691"/>
      <c r="PEI4752" s="689"/>
      <c r="PEJ4752" s="691"/>
      <c r="PEK4752" s="689"/>
      <c r="PEL4752" s="691"/>
      <c r="PEM4752" s="689"/>
      <c r="PEN4752" s="691"/>
      <c r="PEO4752" s="689"/>
      <c r="PEP4752" s="691"/>
      <c r="PEQ4752" s="689"/>
      <c r="PER4752" s="691"/>
      <c r="PES4752" s="689"/>
      <c r="PET4752" s="691"/>
      <c r="PEU4752" s="689"/>
      <c r="PEV4752" s="691"/>
      <c r="PEW4752" s="689"/>
      <c r="PEX4752" s="691"/>
      <c r="PEY4752" s="689"/>
      <c r="PEZ4752" s="691"/>
      <c r="PFA4752" s="689"/>
      <c r="PFB4752" s="691"/>
      <c r="PFC4752" s="689"/>
      <c r="PFD4752" s="691"/>
      <c r="PFE4752" s="689"/>
      <c r="PFF4752" s="691"/>
      <c r="PFG4752" s="689"/>
      <c r="PFH4752" s="691"/>
      <c r="PFI4752" s="689"/>
      <c r="PFJ4752" s="691"/>
      <c r="PFK4752" s="689"/>
      <c r="PFL4752" s="691"/>
      <c r="PFM4752" s="689"/>
      <c r="PFN4752" s="691"/>
      <c r="PFO4752" s="689"/>
      <c r="PFP4752" s="691"/>
      <c r="PFQ4752" s="689"/>
      <c r="PFR4752" s="691"/>
      <c r="PFS4752" s="689"/>
      <c r="PFT4752" s="691"/>
      <c r="PFU4752" s="689"/>
      <c r="PFV4752" s="691"/>
      <c r="PFW4752" s="689"/>
      <c r="PFX4752" s="691"/>
      <c r="PFY4752" s="689"/>
      <c r="PFZ4752" s="691"/>
      <c r="PGA4752" s="689"/>
      <c r="PGB4752" s="691"/>
      <c r="PGC4752" s="689"/>
      <c r="PGD4752" s="691"/>
      <c r="PGE4752" s="689"/>
      <c r="PGF4752" s="691"/>
      <c r="PGG4752" s="689"/>
      <c r="PGH4752" s="691"/>
      <c r="PGI4752" s="689"/>
      <c r="PGJ4752" s="691"/>
      <c r="PGK4752" s="689"/>
      <c r="PGL4752" s="691"/>
      <c r="PGM4752" s="689"/>
      <c r="PGN4752" s="691"/>
      <c r="PGO4752" s="689"/>
      <c r="PGP4752" s="691"/>
      <c r="PGQ4752" s="689"/>
      <c r="PGR4752" s="691"/>
      <c r="PGS4752" s="689"/>
      <c r="PGT4752" s="691"/>
      <c r="PGU4752" s="689"/>
      <c r="PGV4752" s="691"/>
      <c r="PGW4752" s="689"/>
      <c r="PGX4752" s="691"/>
      <c r="PGY4752" s="689"/>
      <c r="PGZ4752" s="691"/>
      <c r="PHA4752" s="689"/>
      <c r="PHB4752" s="691"/>
      <c r="PHC4752" s="689"/>
      <c r="PHD4752" s="691"/>
      <c r="PHE4752" s="689"/>
      <c r="PHF4752" s="691"/>
      <c r="PHG4752" s="689"/>
      <c r="PHH4752" s="691"/>
      <c r="PHI4752" s="689"/>
      <c r="PHJ4752" s="691"/>
      <c r="PHK4752" s="689"/>
      <c r="PHL4752" s="691"/>
      <c r="PHM4752" s="689"/>
      <c r="PHN4752" s="691"/>
      <c r="PHO4752" s="689"/>
      <c r="PHP4752" s="691"/>
      <c r="PHQ4752" s="689"/>
      <c r="PHR4752" s="691"/>
      <c r="PHS4752" s="689"/>
      <c r="PHT4752" s="691"/>
      <c r="PHU4752" s="689"/>
      <c r="PHV4752" s="691"/>
      <c r="PHW4752" s="689"/>
      <c r="PHX4752" s="691"/>
      <c r="PHY4752" s="689"/>
      <c r="PHZ4752" s="691"/>
      <c r="PIA4752" s="689"/>
      <c r="PIB4752" s="691"/>
      <c r="PIC4752" s="689"/>
      <c r="PID4752" s="691"/>
      <c r="PIE4752" s="689"/>
      <c r="PIF4752" s="691"/>
      <c r="PIG4752" s="689"/>
      <c r="PIH4752" s="691"/>
      <c r="PII4752" s="689"/>
      <c r="PIJ4752" s="691"/>
      <c r="PIK4752" s="689"/>
      <c r="PIL4752" s="691"/>
      <c r="PIM4752" s="689"/>
      <c r="PIN4752" s="691"/>
      <c r="PIO4752" s="689"/>
      <c r="PIP4752" s="691"/>
      <c r="PIQ4752" s="689"/>
      <c r="PIR4752" s="691"/>
      <c r="PIS4752" s="689"/>
      <c r="PIT4752" s="691"/>
      <c r="PIU4752" s="689"/>
      <c r="PIV4752" s="691"/>
      <c r="PIW4752" s="689"/>
      <c r="PIX4752" s="691"/>
      <c r="PIY4752" s="689"/>
      <c r="PIZ4752" s="691"/>
      <c r="PJA4752" s="689"/>
      <c r="PJB4752" s="691"/>
      <c r="PJC4752" s="689"/>
      <c r="PJD4752" s="691"/>
      <c r="PJE4752" s="689"/>
      <c r="PJF4752" s="691"/>
      <c r="PJG4752" s="689"/>
      <c r="PJH4752" s="691"/>
      <c r="PJI4752" s="689"/>
      <c r="PJJ4752" s="691"/>
      <c r="PJK4752" s="689"/>
      <c r="PJL4752" s="691"/>
      <c r="PJM4752" s="689"/>
      <c r="PJN4752" s="691"/>
      <c r="PJO4752" s="689"/>
      <c r="PJP4752" s="691"/>
      <c r="PJQ4752" s="689"/>
      <c r="PJR4752" s="691"/>
      <c r="PJS4752" s="689"/>
      <c r="PJT4752" s="691"/>
      <c r="PJU4752" s="689"/>
      <c r="PJV4752" s="691"/>
      <c r="PJW4752" s="689"/>
      <c r="PJX4752" s="691"/>
      <c r="PJY4752" s="689"/>
      <c r="PJZ4752" s="691"/>
      <c r="PKA4752" s="689"/>
      <c r="PKB4752" s="691"/>
      <c r="PKC4752" s="689"/>
      <c r="PKD4752" s="691"/>
      <c r="PKE4752" s="689"/>
      <c r="PKF4752" s="691"/>
      <c r="PKG4752" s="689"/>
      <c r="PKH4752" s="691"/>
      <c r="PKI4752" s="689"/>
      <c r="PKJ4752" s="691"/>
      <c r="PKK4752" s="689"/>
      <c r="PKL4752" s="691"/>
      <c r="PKM4752" s="689"/>
      <c r="PKN4752" s="691"/>
      <c r="PKO4752" s="689"/>
      <c r="PKP4752" s="691"/>
      <c r="PKQ4752" s="689"/>
      <c r="PKR4752" s="691"/>
      <c r="PKS4752" s="689"/>
      <c r="PKT4752" s="691"/>
      <c r="PKU4752" s="689"/>
      <c r="PKV4752" s="691"/>
      <c r="PKW4752" s="689"/>
      <c r="PKX4752" s="691"/>
      <c r="PKY4752" s="689"/>
      <c r="PKZ4752" s="691"/>
      <c r="PLA4752" s="689"/>
      <c r="PLB4752" s="691"/>
      <c r="PLC4752" s="689"/>
      <c r="PLD4752" s="691"/>
      <c r="PLE4752" s="689"/>
      <c r="PLF4752" s="691"/>
      <c r="PLG4752" s="689"/>
      <c r="PLH4752" s="691"/>
      <c r="PLI4752" s="689"/>
      <c r="PLJ4752" s="691"/>
      <c r="PLK4752" s="689"/>
      <c r="PLL4752" s="691"/>
      <c r="PLM4752" s="689"/>
      <c r="PLN4752" s="691"/>
      <c r="PLO4752" s="689"/>
      <c r="PLP4752" s="691"/>
      <c r="PLQ4752" s="689"/>
      <c r="PLR4752" s="691"/>
      <c r="PLS4752" s="689"/>
      <c r="PLT4752" s="691"/>
      <c r="PLU4752" s="689"/>
      <c r="PLV4752" s="691"/>
      <c r="PLW4752" s="689"/>
      <c r="PLX4752" s="691"/>
      <c r="PLY4752" s="689"/>
      <c r="PLZ4752" s="691"/>
      <c r="PMA4752" s="689"/>
      <c r="PMB4752" s="691"/>
      <c r="PMC4752" s="689"/>
      <c r="PMD4752" s="691"/>
      <c r="PME4752" s="689"/>
      <c r="PMF4752" s="691"/>
      <c r="PMG4752" s="689"/>
      <c r="PMH4752" s="691"/>
      <c r="PMI4752" s="689"/>
      <c r="PMJ4752" s="691"/>
      <c r="PMK4752" s="689"/>
      <c r="PML4752" s="691"/>
      <c r="PMM4752" s="689"/>
      <c r="PMN4752" s="691"/>
      <c r="PMO4752" s="689"/>
      <c r="PMP4752" s="691"/>
      <c r="PMQ4752" s="689"/>
      <c r="PMR4752" s="691"/>
      <c r="PMS4752" s="689"/>
      <c r="PMT4752" s="691"/>
      <c r="PMU4752" s="689"/>
      <c r="PMV4752" s="691"/>
      <c r="PMW4752" s="689"/>
      <c r="PMX4752" s="691"/>
      <c r="PMY4752" s="689"/>
      <c r="PMZ4752" s="691"/>
      <c r="PNA4752" s="689"/>
      <c r="PNB4752" s="691"/>
      <c r="PNC4752" s="689"/>
      <c r="PND4752" s="691"/>
      <c r="PNE4752" s="689"/>
      <c r="PNF4752" s="691"/>
      <c r="PNG4752" s="689"/>
      <c r="PNH4752" s="691"/>
      <c r="PNI4752" s="689"/>
      <c r="PNJ4752" s="691"/>
      <c r="PNK4752" s="689"/>
      <c r="PNL4752" s="691"/>
      <c r="PNM4752" s="689"/>
      <c r="PNN4752" s="691"/>
      <c r="PNO4752" s="689"/>
      <c r="PNP4752" s="691"/>
      <c r="PNQ4752" s="689"/>
      <c r="PNR4752" s="691"/>
      <c r="PNS4752" s="689"/>
      <c r="PNT4752" s="691"/>
      <c r="PNU4752" s="689"/>
      <c r="PNV4752" s="691"/>
      <c r="PNW4752" s="689"/>
      <c r="PNX4752" s="691"/>
      <c r="PNY4752" s="689"/>
      <c r="PNZ4752" s="691"/>
      <c r="POA4752" s="689"/>
      <c r="POB4752" s="691"/>
      <c r="POC4752" s="689"/>
      <c r="POD4752" s="691"/>
      <c r="POE4752" s="689"/>
      <c r="POF4752" s="691"/>
      <c r="POG4752" s="689"/>
      <c r="POH4752" s="691"/>
      <c r="POI4752" s="689"/>
      <c r="POJ4752" s="691"/>
      <c r="POK4752" s="689"/>
      <c r="POL4752" s="691"/>
      <c r="POM4752" s="689"/>
      <c r="PON4752" s="691"/>
      <c r="POO4752" s="689"/>
      <c r="POP4752" s="691"/>
      <c r="POQ4752" s="689"/>
      <c r="POR4752" s="691"/>
      <c r="POS4752" s="689"/>
      <c r="POT4752" s="691"/>
      <c r="POU4752" s="689"/>
      <c r="POV4752" s="691"/>
      <c r="POW4752" s="689"/>
      <c r="POX4752" s="691"/>
      <c r="POY4752" s="689"/>
      <c r="POZ4752" s="691"/>
      <c r="PPA4752" s="689"/>
      <c r="PPB4752" s="691"/>
      <c r="PPC4752" s="689"/>
      <c r="PPD4752" s="691"/>
      <c r="PPE4752" s="689"/>
      <c r="PPF4752" s="691"/>
      <c r="PPG4752" s="689"/>
      <c r="PPH4752" s="691"/>
      <c r="PPI4752" s="689"/>
      <c r="PPJ4752" s="691"/>
      <c r="PPK4752" s="689"/>
      <c r="PPL4752" s="691"/>
      <c r="PPM4752" s="689"/>
      <c r="PPN4752" s="691"/>
      <c r="PPO4752" s="689"/>
      <c r="PPP4752" s="691"/>
      <c r="PPQ4752" s="689"/>
      <c r="PPR4752" s="691"/>
      <c r="PPS4752" s="689"/>
      <c r="PPT4752" s="691"/>
      <c r="PPU4752" s="689"/>
      <c r="PPV4752" s="691"/>
      <c r="PPW4752" s="689"/>
      <c r="PPX4752" s="691"/>
      <c r="PPY4752" s="689"/>
      <c r="PPZ4752" s="691"/>
      <c r="PQA4752" s="689"/>
      <c r="PQB4752" s="691"/>
      <c r="PQC4752" s="689"/>
      <c r="PQD4752" s="691"/>
      <c r="PQE4752" s="689"/>
      <c r="PQF4752" s="691"/>
      <c r="PQG4752" s="689"/>
      <c r="PQH4752" s="691"/>
      <c r="PQI4752" s="689"/>
      <c r="PQJ4752" s="691"/>
      <c r="PQK4752" s="689"/>
      <c r="PQL4752" s="691"/>
      <c r="PQM4752" s="689"/>
      <c r="PQN4752" s="691"/>
      <c r="PQO4752" s="689"/>
      <c r="PQP4752" s="691"/>
      <c r="PQQ4752" s="689"/>
      <c r="PQR4752" s="691"/>
      <c r="PQS4752" s="689"/>
      <c r="PQT4752" s="691"/>
      <c r="PQU4752" s="689"/>
      <c r="PQV4752" s="691"/>
      <c r="PQW4752" s="689"/>
      <c r="PQX4752" s="691"/>
      <c r="PQY4752" s="689"/>
      <c r="PQZ4752" s="691"/>
      <c r="PRA4752" s="689"/>
      <c r="PRB4752" s="691"/>
      <c r="PRC4752" s="689"/>
      <c r="PRD4752" s="691"/>
      <c r="PRE4752" s="689"/>
      <c r="PRF4752" s="691"/>
      <c r="PRG4752" s="689"/>
      <c r="PRH4752" s="691"/>
      <c r="PRI4752" s="689"/>
      <c r="PRJ4752" s="691"/>
      <c r="PRK4752" s="689"/>
      <c r="PRL4752" s="691"/>
      <c r="PRM4752" s="689"/>
      <c r="PRN4752" s="691"/>
      <c r="PRO4752" s="689"/>
      <c r="PRP4752" s="691"/>
      <c r="PRQ4752" s="689"/>
      <c r="PRR4752" s="691"/>
      <c r="PRS4752" s="689"/>
      <c r="PRT4752" s="691"/>
      <c r="PRU4752" s="689"/>
      <c r="PRV4752" s="691"/>
      <c r="PRW4752" s="689"/>
      <c r="PRX4752" s="691"/>
      <c r="PRY4752" s="689"/>
      <c r="PRZ4752" s="691"/>
      <c r="PSA4752" s="689"/>
      <c r="PSB4752" s="691"/>
      <c r="PSC4752" s="689"/>
      <c r="PSD4752" s="691"/>
      <c r="PSE4752" s="689"/>
      <c r="PSF4752" s="691"/>
      <c r="PSG4752" s="689"/>
      <c r="PSH4752" s="691"/>
      <c r="PSI4752" s="689"/>
      <c r="PSJ4752" s="691"/>
      <c r="PSK4752" s="689"/>
      <c r="PSL4752" s="691"/>
      <c r="PSM4752" s="689"/>
      <c r="PSN4752" s="691"/>
      <c r="PSO4752" s="689"/>
      <c r="PSP4752" s="691"/>
      <c r="PSQ4752" s="689"/>
      <c r="PSR4752" s="691"/>
      <c r="PSS4752" s="689"/>
      <c r="PST4752" s="691"/>
      <c r="PSU4752" s="689"/>
      <c r="PSV4752" s="691"/>
      <c r="PSW4752" s="689"/>
      <c r="PSX4752" s="691"/>
      <c r="PSY4752" s="689"/>
      <c r="PSZ4752" s="691"/>
      <c r="PTA4752" s="689"/>
      <c r="PTB4752" s="691"/>
      <c r="PTC4752" s="689"/>
      <c r="PTD4752" s="691"/>
      <c r="PTE4752" s="689"/>
      <c r="PTF4752" s="691"/>
      <c r="PTG4752" s="689"/>
      <c r="PTH4752" s="691"/>
      <c r="PTI4752" s="689"/>
      <c r="PTJ4752" s="691"/>
      <c r="PTK4752" s="689"/>
      <c r="PTL4752" s="691"/>
      <c r="PTM4752" s="689"/>
      <c r="PTN4752" s="691"/>
      <c r="PTO4752" s="689"/>
      <c r="PTP4752" s="691"/>
      <c r="PTQ4752" s="689"/>
      <c r="PTR4752" s="691"/>
      <c r="PTS4752" s="689"/>
      <c r="PTT4752" s="691"/>
      <c r="PTU4752" s="689"/>
      <c r="PTV4752" s="691"/>
      <c r="PTW4752" s="689"/>
      <c r="PTX4752" s="691"/>
      <c r="PTY4752" s="689"/>
      <c r="PTZ4752" s="691"/>
      <c r="PUA4752" s="689"/>
      <c r="PUB4752" s="691"/>
      <c r="PUC4752" s="689"/>
      <c r="PUD4752" s="691"/>
      <c r="PUE4752" s="689"/>
      <c r="PUF4752" s="691"/>
      <c r="PUG4752" s="689"/>
      <c r="PUH4752" s="691"/>
      <c r="PUI4752" s="689"/>
      <c r="PUJ4752" s="691"/>
      <c r="PUK4752" s="689"/>
      <c r="PUL4752" s="691"/>
      <c r="PUM4752" s="689"/>
      <c r="PUN4752" s="691"/>
      <c r="PUO4752" s="689"/>
      <c r="PUP4752" s="691"/>
      <c r="PUQ4752" s="689"/>
      <c r="PUR4752" s="691"/>
      <c r="PUS4752" s="689"/>
      <c r="PUT4752" s="691"/>
      <c r="PUU4752" s="689"/>
      <c r="PUV4752" s="691"/>
      <c r="PUW4752" s="689"/>
      <c r="PUX4752" s="691"/>
      <c r="PUY4752" s="689"/>
      <c r="PUZ4752" s="691"/>
      <c r="PVA4752" s="689"/>
      <c r="PVB4752" s="691"/>
      <c r="PVC4752" s="689"/>
      <c r="PVD4752" s="691"/>
      <c r="PVE4752" s="689"/>
      <c r="PVF4752" s="691"/>
      <c r="PVG4752" s="689"/>
      <c r="PVH4752" s="691"/>
      <c r="PVI4752" s="689"/>
      <c r="PVJ4752" s="691"/>
      <c r="PVK4752" s="689"/>
      <c r="PVL4752" s="691"/>
      <c r="PVM4752" s="689"/>
      <c r="PVN4752" s="691"/>
      <c r="PVO4752" s="689"/>
      <c r="PVP4752" s="691"/>
      <c r="PVQ4752" s="689"/>
      <c r="PVR4752" s="691"/>
      <c r="PVS4752" s="689"/>
      <c r="PVT4752" s="691"/>
      <c r="PVU4752" s="689"/>
      <c r="PVV4752" s="691"/>
      <c r="PVW4752" s="689"/>
      <c r="PVX4752" s="691"/>
      <c r="PVY4752" s="689"/>
      <c r="PVZ4752" s="691"/>
      <c r="PWA4752" s="689"/>
      <c r="PWB4752" s="691"/>
      <c r="PWC4752" s="689"/>
      <c r="PWD4752" s="691"/>
      <c r="PWE4752" s="689"/>
      <c r="PWF4752" s="691"/>
      <c r="PWG4752" s="689"/>
      <c r="PWH4752" s="691"/>
      <c r="PWI4752" s="689"/>
      <c r="PWJ4752" s="691"/>
      <c r="PWK4752" s="689"/>
      <c r="PWL4752" s="691"/>
      <c r="PWM4752" s="689"/>
      <c r="PWN4752" s="691"/>
      <c r="PWO4752" s="689"/>
      <c r="PWP4752" s="691"/>
      <c r="PWQ4752" s="689"/>
      <c r="PWR4752" s="691"/>
      <c r="PWS4752" s="689"/>
      <c r="PWT4752" s="691"/>
      <c r="PWU4752" s="689"/>
      <c r="PWV4752" s="691"/>
      <c r="PWW4752" s="689"/>
      <c r="PWX4752" s="691"/>
      <c r="PWY4752" s="689"/>
      <c r="PWZ4752" s="691"/>
      <c r="PXA4752" s="689"/>
      <c r="PXB4752" s="691"/>
      <c r="PXC4752" s="689"/>
      <c r="PXD4752" s="691"/>
      <c r="PXE4752" s="689"/>
      <c r="PXF4752" s="691"/>
      <c r="PXG4752" s="689"/>
      <c r="PXH4752" s="691"/>
      <c r="PXI4752" s="689"/>
      <c r="PXJ4752" s="691"/>
      <c r="PXK4752" s="689"/>
      <c r="PXL4752" s="691"/>
      <c r="PXM4752" s="689"/>
      <c r="PXN4752" s="691"/>
      <c r="PXO4752" s="689"/>
      <c r="PXP4752" s="691"/>
      <c r="PXQ4752" s="689"/>
      <c r="PXR4752" s="691"/>
      <c r="PXS4752" s="689"/>
      <c r="PXT4752" s="691"/>
      <c r="PXU4752" s="689"/>
      <c r="PXV4752" s="691"/>
      <c r="PXW4752" s="689"/>
      <c r="PXX4752" s="691"/>
      <c r="PXY4752" s="689"/>
      <c r="PXZ4752" s="691"/>
      <c r="PYA4752" s="689"/>
      <c r="PYB4752" s="691"/>
      <c r="PYC4752" s="689"/>
      <c r="PYD4752" s="691"/>
      <c r="PYE4752" s="689"/>
      <c r="PYF4752" s="691"/>
      <c r="PYG4752" s="689"/>
      <c r="PYH4752" s="691"/>
      <c r="PYI4752" s="689"/>
      <c r="PYJ4752" s="691"/>
      <c r="PYK4752" s="689"/>
      <c r="PYL4752" s="691"/>
      <c r="PYM4752" s="689"/>
      <c r="PYN4752" s="691"/>
      <c r="PYO4752" s="689"/>
      <c r="PYP4752" s="691"/>
      <c r="PYQ4752" s="689"/>
      <c r="PYR4752" s="691"/>
      <c r="PYS4752" s="689"/>
      <c r="PYT4752" s="691"/>
      <c r="PYU4752" s="689"/>
      <c r="PYV4752" s="691"/>
      <c r="PYW4752" s="689"/>
      <c r="PYX4752" s="691"/>
      <c r="PYY4752" s="689"/>
      <c r="PYZ4752" s="691"/>
      <c r="PZA4752" s="689"/>
      <c r="PZB4752" s="691"/>
      <c r="PZC4752" s="689"/>
      <c r="PZD4752" s="691"/>
      <c r="PZE4752" s="689"/>
      <c r="PZF4752" s="691"/>
      <c r="PZG4752" s="689"/>
      <c r="PZH4752" s="691"/>
      <c r="PZI4752" s="689"/>
      <c r="PZJ4752" s="691"/>
      <c r="PZK4752" s="689"/>
      <c r="PZL4752" s="691"/>
      <c r="PZM4752" s="689"/>
      <c r="PZN4752" s="691"/>
      <c r="PZO4752" s="689"/>
      <c r="PZP4752" s="691"/>
      <c r="PZQ4752" s="689"/>
      <c r="PZR4752" s="691"/>
      <c r="PZS4752" s="689"/>
      <c r="PZT4752" s="691"/>
      <c r="PZU4752" s="689"/>
      <c r="PZV4752" s="691"/>
      <c r="PZW4752" s="689"/>
      <c r="PZX4752" s="691"/>
      <c r="PZY4752" s="689"/>
      <c r="PZZ4752" s="691"/>
      <c r="QAA4752" s="689"/>
      <c r="QAB4752" s="691"/>
      <c r="QAC4752" s="689"/>
      <c r="QAD4752" s="691"/>
      <c r="QAE4752" s="689"/>
      <c r="QAF4752" s="691"/>
      <c r="QAG4752" s="689"/>
      <c r="QAH4752" s="691"/>
      <c r="QAI4752" s="689"/>
      <c r="QAJ4752" s="691"/>
      <c r="QAK4752" s="689"/>
      <c r="QAL4752" s="691"/>
      <c r="QAM4752" s="689"/>
      <c r="QAN4752" s="691"/>
      <c r="QAO4752" s="689"/>
      <c r="QAP4752" s="691"/>
      <c r="QAQ4752" s="689"/>
      <c r="QAR4752" s="691"/>
      <c r="QAS4752" s="689"/>
      <c r="QAT4752" s="691"/>
      <c r="QAU4752" s="689"/>
      <c r="QAV4752" s="691"/>
      <c r="QAW4752" s="689"/>
      <c r="QAX4752" s="691"/>
      <c r="QAY4752" s="689"/>
      <c r="QAZ4752" s="691"/>
      <c r="QBA4752" s="689"/>
      <c r="QBB4752" s="691"/>
      <c r="QBC4752" s="689"/>
      <c r="QBD4752" s="691"/>
      <c r="QBE4752" s="689"/>
      <c r="QBF4752" s="691"/>
      <c r="QBG4752" s="689"/>
      <c r="QBH4752" s="691"/>
      <c r="QBI4752" s="689"/>
      <c r="QBJ4752" s="691"/>
      <c r="QBK4752" s="689"/>
      <c r="QBL4752" s="691"/>
      <c r="QBM4752" s="689"/>
      <c r="QBN4752" s="691"/>
      <c r="QBO4752" s="689"/>
      <c r="QBP4752" s="691"/>
      <c r="QBQ4752" s="689"/>
      <c r="QBR4752" s="691"/>
      <c r="QBS4752" s="689"/>
      <c r="QBT4752" s="691"/>
      <c r="QBU4752" s="689"/>
      <c r="QBV4752" s="691"/>
      <c r="QBW4752" s="689"/>
      <c r="QBX4752" s="691"/>
      <c r="QBY4752" s="689"/>
      <c r="QBZ4752" s="691"/>
      <c r="QCA4752" s="689"/>
      <c r="QCB4752" s="691"/>
      <c r="QCC4752" s="689"/>
      <c r="QCD4752" s="691"/>
      <c r="QCE4752" s="689"/>
      <c r="QCF4752" s="691"/>
      <c r="QCG4752" s="689"/>
      <c r="QCH4752" s="691"/>
      <c r="QCI4752" s="689"/>
      <c r="QCJ4752" s="691"/>
      <c r="QCK4752" s="689"/>
      <c r="QCL4752" s="691"/>
      <c r="QCM4752" s="689"/>
      <c r="QCN4752" s="691"/>
      <c r="QCO4752" s="689"/>
      <c r="QCP4752" s="691"/>
      <c r="QCQ4752" s="689"/>
      <c r="QCR4752" s="691"/>
      <c r="QCS4752" s="689"/>
      <c r="QCT4752" s="691"/>
      <c r="QCU4752" s="689"/>
      <c r="QCV4752" s="691"/>
      <c r="QCW4752" s="689"/>
      <c r="QCX4752" s="691"/>
      <c r="QCY4752" s="689"/>
      <c r="QCZ4752" s="691"/>
      <c r="QDA4752" s="689"/>
      <c r="QDB4752" s="691"/>
      <c r="QDC4752" s="689"/>
      <c r="QDD4752" s="691"/>
      <c r="QDE4752" s="689"/>
      <c r="QDF4752" s="691"/>
      <c r="QDG4752" s="689"/>
      <c r="QDH4752" s="691"/>
      <c r="QDI4752" s="689"/>
      <c r="QDJ4752" s="691"/>
      <c r="QDK4752" s="689"/>
      <c r="QDL4752" s="691"/>
      <c r="QDM4752" s="689"/>
      <c r="QDN4752" s="691"/>
      <c r="QDO4752" s="689"/>
      <c r="QDP4752" s="691"/>
      <c r="QDQ4752" s="689"/>
      <c r="QDR4752" s="691"/>
      <c r="QDS4752" s="689"/>
      <c r="QDT4752" s="691"/>
      <c r="QDU4752" s="689"/>
      <c r="QDV4752" s="691"/>
      <c r="QDW4752" s="689"/>
      <c r="QDX4752" s="691"/>
      <c r="QDY4752" s="689"/>
      <c r="QDZ4752" s="691"/>
      <c r="QEA4752" s="689"/>
      <c r="QEB4752" s="691"/>
      <c r="QEC4752" s="689"/>
      <c r="QED4752" s="691"/>
      <c r="QEE4752" s="689"/>
      <c r="QEF4752" s="691"/>
      <c r="QEG4752" s="689"/>
      <c r="QEH4752" s="691"/>
      <c r="QEI4752" s="689"/>
      <c r="QEJ4752" s="691"/>
      <c r="QEK4752" s="689"/>
      <c r="QEL4752" s="691"/>
      <c r="QEM4752" s="689"/>
      <c r="QEN4752" s="691"/>
      <c r="QEO4752" s="689"/>
      <c r="QEP4752" s="691"/>
      <c r="QEQ4752" s="689"/>
      <c r="QER4752" s="691"/>
      <c r="QES4752" s="689"/>
      <c r="QET4752" s="691"/>
      <c r="QEU4752" s="689"/>
      <c r="QEV4752" s="691"/>
      <c r="QEW4752" s="689"/>
      <c r="QEX4752" s="691"/>
      <c r="QEY4752" s="689"/>
      <c r="QEZ4752" s="691"/>
      <c r="QFA4752" s="689"/>
      <c r="QFB4752" s="691"/>
      <c r="QFC4752" s="689"/>
      <c r="QFD4752" s="691"/>
      <c r="QFE4752" s="689"/>
      <c r="QFF4752" s="691"/>
      <c r="QFG4752" s="689"/>
      <c r="QFH4752" s="691"/>
      <c r="QFI4752" s="689"/>
      <c r="QFJ4752" s="691"/>
      <c r="QFK4752" s="689"/>
      <c r="QFL4752" s="691"/>
      <c r="QFM4752" s="689"/>
      <c r="QFN4752" s="691"/>
      <c r="QFO4752" s="689"/>
      <c r="QFP4752" s="691"/>
      <c r="QFQ4752" s="689"/>
      <c r="QFR4752" s="691"/>
      <c r="QFS4752" s="689"/>
      <c r="QFT4752" s="691"/>
      <c r="QFU4752" s="689"/>
      <c r="QFV4752" s="691"/>
      <c r="QFW4752" s="689"/>
      <c r="QFX4752" s="691"/>
      <c r="QFY4752" s="689"/>
      <c r="QFZ4752" s="691"/>
      <c r="QGA4752" s="689"/>
      <c r="QGB4752" s="691"/>
      <c r="QGC4752" s="689"/>
      <c r="QGD4752" s="691"/>
      <c r="QGE4752" s="689"/>
      <c r="QGF4752" s="691"/>
      <c r="QGG4752" s="689"/>
      <c r="QGH4752" s="691"/>
      <c r="QGI4752" s="689"/>
      <c r="QGJ4752" s="691"/>
      <c r="QGK4752" s="689"/>
      <c r="QGL4752" s="691"/>
      <c r="QGM4752" s="689"/>
      <c r="QGN4752" s="691"/>
      <c r="QGO4752" s="689"/>
      <c r="QGP4752" s="691"/>
      <c r="QGQ4752" s="689"/>
      <c r="QGR4752" s="691"/>
      <c r="QGS4752" s="689"/>
      <c r="QGT4752" s="691"/>
      <c r="QGU4752" s="689"/>
      <c r="QGV4752" s="691"/>
      <c r="QGW4752" s="689"/>
      <c r="QGX4752" s="691"/>
      <c r="QGY4752" s="689"/>
      <c r="QGZ4752" s="691"/>
      <c r="QHA4752" s="689"/>
      <c r="QHB4752" s="691"/>
      <c r="QHC4752" s="689"/>
      <c r="QHD4752" s="691"/>
      <c r="QHE4752" s="689"/>
      <c r="QHF4752" s="691"/>
      <c r="QHG4752" s="689"/>
      <c r="QHH4752" s="691"/>
      <c r="QHI4752" s="689"/>
      <c r="QHJ4752" s="691"/>
      <c r="QHK4752" s="689"/>
      <c r="QHL4752" s="691"/>
      <c r="QHM4752" s="689"/>
      <c r="QHN4752" s="691"/>
      <c r="QHO4752" s="689"/>
      <c r="QHP4752" s="691"/>
      <c r="QHQ4752" s="689"/>
      <c r="QHR4752" s="691"/>
      <c r="QHS4752" s="689"/>
      <c r="QHT4752" s="691"/>
      <c r="QHU4752" s="689"/>
      <c r="QHV4752" s="691"/>
      <c r="QHW4752" s="689"/>
      <c r="QHX4752" s="691"/>
      <c r="QHY4752" s="689"/>
      <c r="QHZ4752" s="691"/>
      <c r="QIA4752" s="689"/>
      <c r="QIB4752" s="691"/>
      <c r="QIC4752" s="689"/>
      <c r="QID4752" s="691"/>
      <c r="QIE4752" s="689"/>
      <c r="QIF4752" s="691"/>
      <c r="QIG4752" s="689"/>
      <c r="QIH4752" s="691"/>
      <c r="QII4752" s="689"/>
      <c r="QIJ4752" s="691"/>
      <c r="QIK4752" s="689"/>
      <c r="QIL4752" s="691"/>
      <c r="QIM4752" s="689"/>
      <c r="QIN4752" s="691"/>
      <c r="QIO4752" s="689"/>
      <c r="QIP4752" s="691"/>
      <c r="QIQ4752" s="689"/>
      <c r="QIR4752" s="691"/>
      <c r="QIS4752" s="689"/>
      <c r="QIT4752" s="691"/>
      <c r="QIU4752" s="689"/>
      <c r="QIV4752" s="691"/>
      <c r="QIW4752" s="689"/>
      <c r="QIX4752" s="691"/>
      <c r="QIY4752" s="689"/>
      <c r="QIZ4752" s="691"/>
      <c r="QJA4752" s="689"/>
      <c r="QJB4752" s="691"/>
      <c r="QJC4752" s="689"/>
      <c r="QJD4752" s="691"/>
      <c r="QJE4752" s="689"/>
      <c r="QJF4752" s="691"/>
      <c r="QJG4752" s="689"/>
      <c r="QJH4752" s="691"/>
      <c r="QJI4752" s="689"/>
      <c r="QJJ4752" s="691"/>
      <c r="QJK4752" s="689"/>
      <c r="QJL4752" s="691"/>
      <c r="QJM4752" s="689"/>
      <c r="QJN4752" s="691"/>
      <c r="QJO4752" s="689"/>
      <c r="QJP4752" s="691"/>
      <c r="QJQ4752" s="689"/>
      <c r="QJR4752" s="691"/>
      <c r="QJS4752" s="689"/>
      <c r="QJT4752" s="691"/>
      <c r="QJU4752" s="689"/>
      <c r="QJV4752" s="691"/>
      <c r="QJW4752" s="689"/>
      <c r="QJX4752" s="691"/>
      <c r="QJY4752" s="689"/>
      <c r="QJZ4752" s="691"/>
      <c r="QKA4752" s="689"/>
      <c r="QKB4752" s="691"/>
      <c r="QKC4752" s="689"/>
      <c r="QKD4752" s="691"/>
      <c r="QKE4752" s="689"/>
      <c r="QKF4752" s="691"/>
      <c r="QKG4752" s="689"/>
      <c r="QKH4752" s="691"/>
      <c r="QKI4752" s="689"/>
      <c r="QKJ4752" s="691"/>
      <c r="QKK4752" s="689"/>
      <c r="QKL4752" s="691"/>
      <c r="QKM4752" s="689"/>
      <c r="QKN4752" s="691"/>
      <c r="QKO4752" s="689"/>
      <c r="QKP4752" s="691"/>
      <c r="QKQ4752" s="689"/>
      <c r="QKR4752" s="691"/>
      <c r="QKS4752" s="689"/>
      <c r="QKT4752" s="691"/>
      <c r="QKU4752" s="689"/>
      <c r="QKV4752" s="691"/>
      <c r="QKW4752" s="689"/>
      <c r="QKX4752" s="691"/>
      <c r="QKY4752" s="689"/>
      <c r="QKZ4752" s="691"/>
      <c r="QLA4752" s="689"/>
      <c r="QLB4752" s="691"/>
      <c r="QLC4752" s="689"/>
      <c r="QLD4752" s="691"/>
      <c r="QLE4752" s="689"/>
      <c r="QLF4752" s="691"/>
      <c r="QLG4752" s="689"/>
      <c r="QLH4752" s="691"/>
      <c r="QLI4752" s="689"/>
      <c r="QLJ4752" s="691"/>
      <c r="QLK4752" s="689"/>
      <c r="QLL4752" s="691"/>
      <c r="QLM4752" s="689"/>
      <c r="QLN4752" s="691"/>
      <c r="QLO4752" s="689"/>
      <c r="QLP4752" s="691"/>
      <c r="QLQ4752" s="689"/>
      <c r="QLR4752" s="691"/>
      <c r="QLS4752" s="689"/>
      <c r="QLT4752" s="691"/>
      <c r="QLU4752" s="689"/>
      <c r="QLV4752" s="691"/>
      <c r="QLW4752" s="689"/>
      <c r="QLX4752" s="691"/>
      <c r="QLY4752" s="689"/>
      <c r="QLZ4752" s="691"/>
      <c r="QMA4752" s="689"/>
      <c r="QMB4752" s="691"/>
      <c r="QMC4752" s="689"/>
      <c r="QMD4752" s="691"/>
      <c r="QME4752" s="689"/>
      <c r="QMF4752" s="691"/>
      <c r="QMG4752" s="689"/>
      <c r="QMH4752" s="691"/>
      <c r="QMI4752" s="689"/>
      <c r="QMJ4752" s="691"/>
      <c r="QMK4752" s="689"/>
      <c r="QML4752" s="691"/>
      <c r="QMM4752" s="689"/>
      <c r="QMN4752" s="691"/>
      <c r="QMO4752" s="689"/>
      <c r="QMP4752" s="691"/>
      <c r="QMQ4752" s="689"/>
      <c r="QMR4752" s="691"/>
      <c r="QMS4752" s="689"/>
      <c r="QMT4752" s="691"/>
      <c r="QMU4752" s="689"/>
      <c r="QMV4752" s="691"/>
      <c r="QMW4752" s="689"/>
      <c r="QMX4752" s="691"/>
      <c r="QMY4752" s="689"/>
      <c r="QMZ4752" s="691"/>
      <c r="QNA4752" s="689"/>
      <c r="QNB4752" s="691"/>
      <c r="QNC4752" s="689"/>
      <c r="QND4752" s="691"/>
      <c r="QNE4752" s="689"/>
      <c r="QNF4752" s="691"/>
      <c r="QNG4752" s="689"/>
      <c r="QNH4752" s="691"/>
      <c r="QNI4752" s="689"/>
      <c r="QNJ4752" s="691"/>
      <c r="QNK4752" s="689"/>
      <c r="QNL4752" s="691"/>
      <c r="QNM4752" s="689"/>
      <c r="QNN4752" s="691"/>
      <c r="QNO4752" s="689"/>
      <c r="QNP4752" s="691"/>
      <c r="QNQ4752" s="689"/>
      <c r="QNR4752" s="691"/>
      <c r="QNS4752" s="689"/>
      <c r="QNT4752" s="691"/>
      <c r="QNU4752" s="689"/>
      <c r="QNV4752" s="691"/>
      <c r="QNW4752" s="689"/>
      <c r="QNX4752" s="691"/>
      <c r="QNY4752" s="689"/>
      <c r="QNZ4752" s="691"/>
      <c r="QOA4752" s="689"/>
      <c r="QOB4752" s="691"/>
      <c r="QOC4752" s="689"/>
      <c r="QOD4752" s="691"/>
      <c r="QOE4752" s="689"/>
      <c r="QOF4752" s="691"/>
      <c r="QOG4752" s="689"/>
      <c r="QOH4752" s="691"/>
      <c r="QOI4752" s="689"/>
      <c r="QOJ4752" s="691"/>
      <c r="QOK4752" s="689"/>
      <c r="QOL4752" s="691"/>
      <c r="QOM4752" s="689"/>
      <c r="QON4752" s="691"/>
      <c r="QOO4752" s="689"/>
      <c r="QOP4752" s="691"/>
      <c r="QOQ4752" s="689"/>
      <c r="QOR4752" s="691"/>
      <c r="QOS4752" s="689"/>
      <c r="QOT4752" s="691"/>
      <c r="QOU4752" s="689"/>
      <c r="QOV4752" s="691"/>
      <c r="QOW4752" s="689"/>
      <c r="QOX4752" s="691"/>
      <c r="QOY4752" s="689"/>
      <c r="QOZ4752" s="691"/>
      <c r="QPA4752" s="689"/>
      <c r="QPB4752" s="691"/>
      <c r="QPC4752" s="689"/>
      <c r="QPD4752" s="691"/>
      <c r="QPE4752" s="689"/>
      <c r="QPF4752" s="691"/>
      <c r="QPG4752" s="689"/>
      <c r="QPH4752" s="691"/>
      <c r="QPI4752" s="689"/>
      <c r="QPJ4752" s="691"/>
      <c r="QPK4752" s="689"/>
      <c r="QPL4752" s="691"/>
      <c r="QPM4752" s="689"/>
      <c r="QPN4752" s="691"/>
      <c r="QPO4752" s="689"/>
      <c r="QPP4752" s="691"/>
      <c r="QPQ4752" s="689"/>
      <c r="QPR4752" s="691"/>
      <c r="QPS4752" s="689"/>
      <c r="QPT4752" s="691"/>
      <c r="QPU4752" s="689"/>
      <c r="QPV4752" s="691"/>
      <c r="QPW4752" s="689"/>
      <c r="QPX4752" s="691"/>
      <c r="QPY4752" s="689"/>
      <c r="QPZ4752" s="691"/>
      <c r="QQA4752" s="689"/>
      <c r="QQB4752" s="691"/>
      <c r="QQC4752" s="689"/>
      <c r="QQD4752" s="691"/>
      <c r="QQE4752" s="689"/>
      <c r="QQF4752" s="691"/>
      <c r="QQG4752" s="689"/>
      <c r="QQH4752" s="691"/>
      <c r="QQI4752" s="689"/>
      <c r="QQJ4752" s="691"/>
      <c r="QQK4752" s="689"/>
      <c r="QQL4752" s="691"/>
      <c r="QQM4752" s="689"/>
      <c r="QQN4752" s="691"/>
      <c r="QQO4752" s="689"/>
      <c r="QQP4752" s="691"/>
      <c r="QQQ4752" s="689"/>
      <c r="QQR4752" s="691"/>
      <c r="QQS4752" s="689"/>
      <c r="QQT4752" s="691"/>
      <c r="QQU4752" s="689"/>
      <c r="QQV4752" s="691"/>
      <c r="QQW4752" s="689"/>
      <c r="QQX4752" s="691"/>
      <c r="QQY4752" s="689"/>
      <c r="QQZ4752" s="691"/>
      <c r="QRA4752" s="689"/>
      <c r="QRB4752" s="691"/>
      <c r="QRC4752" s="689"/>
      <c r="QRD4752" s="691"/>
      <c r="QRE4752" s="689"/>
      <c r="QRF4752" s="691"/>
      <c r="QRG4752" s="689"/>
      <c r="QRH4752" s="691"/>
      <c r="QRI4752" s="689"/>
      <c r="QRJ4752" s="691"/>
      <c r="QRK4752" s="689"/>
      <c r="QRL4752" s="691"/>
      <c r="QRM4752" s="689"/>
      <c r="QRN4752" s="691"/>
      <c r="QRO4752" s="689"/>
      <c r="QRP4752" s="691"/>
      <c r="QRQ4752" s="689"/>
      <c r="QRR4752" s="691"/>
      <c r="QRS4752" s="689"/>
      <c r="QRT4752" s="691"/>
      <c r="QRU4752" s="689"/>
      <c r="QRV4752" s="691"/>
      <c r="QRW4752" s="689"/>
      <c r="QRX4752" s="691"/>
      <c r="QRY4752" s="689"/>
      <c r="QRZ4752" s="691"/>
      <c r="QSA4752" s="689"/>
      <c r="QSB4752" s="691"/>
      <c r="QSC4752" s="689"/>
      <c r="QSD4752" s="691"/>
      <c r="QSE4752" s="689"/>
      <c r="QSF4752" s="691"/>
      <c r="QSG4752" s="689"/>
      <c r="QSH4752" s="691"/>
      <c r="QSI4752" s="689"/>
      <c r="QSJ4752" s="691"/>
      <c r="QSK4752" s="689"/>
      <c r="QSL4752" s="691"/>
      <c r="QSM4752" s="689"/>
      <c r="QSN4752" s="691"/>
      <c r="QSO4752" s="689"/>
      <c r="QSP4752" s="691"/>
      <c r="QSQ4752" s="689"/>
      <c r="QSR4752" s="691"/>
      <c r="QSS4752" s="689"/>
      <c r="QST4752" s="691"/>
      <c r="QSU4752" s="689"/>
      <c r="QSV4752" s="691"/>
      <c r="QSW4752" s="689"/>
      <c r="QSX4752" s="691"/>
      <c r="QSY4752" s="689"/>
      <c r="QSZ4752" s="691"/>
      <c r="QTA4752" s="689"/>
      <c r="QTB4752" s="691"/>
      <c r="QTC4752" s="689"/>
      <c r="QTD4752" s="691"/>
      <c r="QTE4752" s="689"/>
      <c r="QTF4752" s="691"/>
      <c r="QTG4752" s="689"/>
      <c r="QTH4752" s="691"/>
      <c r="QTI4752" s="689"/>
      <c r="QTJ4752" s="691"/>
      <c r="QTK4752" s="689"/>
      <c r="QTL4752" s="691"/>
      <c r="QTM4752" s="689"/>
      <c r="QTN4752" s="691"/>
      <c r="QTO4752" s="689"/>
      <c r="QTP4752" s="691"/>
      <c r="QTQ4752" s="689"/>
      <c r="QTR4752" s="691"/>
      <c r="QTS4752" s="689"/>
      <c r="QTT4752" s="691"/>
      <c r="QTU4752" s="689"/>
      <c r="QTV4752" s="691"/>
      <c r="QTW4752" s="689"/>
      <c r="QTX4752" s="691"/>
      <c r="QTY4752" s="689"/>
      <c r="QTZ4752" s="691"/>
      <c r="QUA4752" s="689"/>
      <c r="QUB4752" s="691"/>
      <c r="QUC4752" s="689"/>
      <c r="QUD4752" s="691"/>
      <c r="QUE4752" s="689"/>
      <c r="QUF4752" s="691"/>
      <c r="QUG4752" s="689"/>
      <c r="QUH4752" s="691"/>
      <c r="QUI4752" s="689"/>
      <c r="QUJ4752" s="691"/>
      <c r="QUK4752" s="689"/>
      <c r="QUL4752" s="691"/>
      <c r="QUM4752" s="689"/>
      <c r="QUN4752" s="691"/>
      <c r="QUO4752" s="689"/>
      <c r="QUP4752" s="691"/>
      <c r="QUQ4752" s="689"/>
      <c r="QUR4752" s="691"/>
      <c r="QUS4752" s="689"/>
      <c r="QUT4752" s="691"/>
      <c r="QUU4752" s="689"/>
      <c r="QUV4752" s="691"/>
      <c r="QUW4752" s="689"/>
      <c r="QUX4752" s="691"/>
      <c r="QUY4752" s="689"/>
      <c r="QUZ4752" s="691"/>
      <c r="QVA4752" s="689"/>
      <c r="QVB4752" s="691"/>
      <c r="QVC4752" s="689"/>
      <c r="QVD4752" s="691"/>
      <c r="QVE4752" s="689"/>
      <c r="QVF4752" s="691"/>
      <c r="QVG4752" s="689"/>
      <c r="QVH4752" s="691"/>
      <c r="QVI4752" s="689"/>
      <c r="QVJ4752" s="691"/>
      <c r="QVK4752" s="689"/>
      <c r="QVL4752" s="691"/>
      <c r="QVM4752" s="689"/>
      <c r="QVN4752" s="691"/>
      <c r="QVO4752" s="689"/>
      <c r="QVP4752" s="691"/>
      <c r="QVQ4752" s="689"/>
      <c r="QVR4752" s="691"/>
      <c r="QVS4752" s="689"/>
      <c r="QVT4752" s="691"/>
      <c r="QVU4752" s="689"/>
      <c r="QVV4752" s="691"/>
      <c r="QVW4752" s="689"/>
      <c r="QVX4752" s="691"/>
      <c r="QVY4752" s="689"/>
      <c r="QVZ4752" s="691"/>
      <c r="QWA4752" s="689"/>
      <c r="QWB4752" s="691"/>
      <c r="QWC4752" s="689"/>
      <c r="QWD4752" s="691"/>
      <c r="QWE4752" s="689"/>
      <c r="QWF4752" s="691"/>
      <c r="QWG4752" s="689"/>
      <c r="QWH4752" s="691"/>
      <c r="QWI4752" s="689"/>
      <c r="QWJ4752" s="691"/>
      <c r="QWK4752" s="689"/>
      <c r="QWL4752" s="691"/>
      <c r="QWM4752" s="689"/>
      <c r="QWN4752" s="691"/>
      <c r="QWO4752" s="689"/>
      <c r="QWP4752" s="691"/>
      <c r="QWQ4752" s="689"/>
      <c r="QWR4752" s="691"/>
      <c r="QWS4752" s="689"/>
      <c r="QWT4752" s="691"/>
      <c r="QWU4752" s="689"/>
      <c r="QWV4752" s="691"/>
      <c r="QWW4752" s="689"/>
      <c r="QWX4752" s="691"/>
      <c r="QWY4752" s="689"/>
      <c r="QWZ4752" s="691"/>
      <c r="QXA4752" s="689"/>
      <c r="QXB4752" s="691"/>
      <c r="QXC4752" s="689"/>
      <c r="QXD4752" s="691"/>
      <c r="QXE4752" s="689"/>
      <c r="QXF4752" s="691"/>
      <c r="QXG4752" s="689"/>
      <c r="QXH4752" s="691"/>
      <c r="QXI4752" s="689"/>
      <c r="QXJ4752" s="691"/>
      <c r="QXK4752" s="689"/>
      <c r="QXL4752" s="691"/>
      <c r="QXM4752" s="689"/>
      <c r="QXN4752" s="691"/>
      <c r="QXO4752" s="689"/>
      <c r="QXP4752" s="691"/>
      <c r="QXQ4752" s="689"/>
      <c r="QXR4752" s="691"/>
      <c r="QXS4752" s="689"/>
      <c r="QXT4752" s="691"/>
      <c r="QXU4752" s="689"/>
      <c r="QXV4752" s="691"/>
      <c r="QXW4752" s="689"/>
      <c r="QXX4752" s="691"/>
      <c r="QXY4752" s="689"/>
      <c r="QXZ4752" s="691"/>
      <c r="QYA4752" s="689"/>
      <c r="QYB4752" s="691"/>
      <c r="QYC4752" s="689"/>
      <c r="QYD4752" s="691"/>
      <c r="QYE4752" s="689"/>
      <c r="QYF4752" s="691"/>
      <c r="QYG4752" s="689"/>
      <c r="QYH4752" s="691"/>
      <c r="QYI4752" s="689"/>
      <c r="QYJ4752" s="691"/>
      <c r="QYK4752" s="689"/>
      <c r="QYL4752" s="691"/>
      <c r="QYM4752" s="689"/>
      <c r="QYN4752" s="691"/>
      <c r="QYO4752" s="689"/>
      <c r="QYP4752" s="691"/>
      <c r="QYQ4752" s="689"/>
      <c r="QYR4752" s="691"/>
      <c r="QYS4752" s="689"/>
      <c r="QYT4752" s="691"/>
      <c r="QYU4752" s="689"/>
      <c r="QYV4752" s="691"/>
      <c r="QYW4752" s="689"/>
      <c r="QYX4752" s="691"/>
      <c r="QYY4752" s="689"/>
      <c r="QYZ4752" s="691"/>
      <c r="QZA4752" s="689"/>
      <c r="QZB4752" s="691"/>
      <c r="QZC4752" s="689"/>
      <c r="QZD4752" s="691"/>
      <c r="QZE4752" s="689"/>
      <c r="QZF4752" s="691"/>
      <c r="QZG4752" s="689"/>
      <c r="QZH4752" s="691"/>
      <c r="QZI4752" s="689"/>
      <c r="QZJ4752" s="691"/>
      <c r="QZK4752" s="689"/>
      <c r="QZL4752" s="691"/>
      <c r="QZM4752" s="689"/>
      <c r="QZN4752" s="691"/>
      <c r="QZO4752" s="689"/>
      <c r="QZP4752" s="691"/>
      <c r="QZQ4752" s="689"/>
      <c r="QZR4752" s="691"/>
      <c r="QZS4752" s="689"/>
      <c r="QZT4752" s="691"/>
      <c r="QZU4752" s="689"/>
      <c r="QZV4752" s="691"/>
      <c r="QZW4752" s="689"/>
      <c r="QZX4752" s="691"/>
      <c r="QZY4752" s="689"/>
      <c r="QZZ4752" s="691"/>
      <c r="RAA4752" s="689"/>
      <c r="RAB4752" s="691"/>
      <c r="RAC4752" s="689"/>
      <c r="RAD4752" s="691"/>
      <c r="RAE4752" s="689"/>
      <c r="RAF4752" s="691"/>
      <c r="RAG4752" s="689"/>
      <c r="RAH4752" s="691"/>
      <c r="RAI4752" s="689"/>
      <c r="RAJ4752" s="691"/>
      <c r="RAK4752" s="689"/>
      <c r="RAL4752" s="691"/>
      <c r="RAM4752" s="689"/>
      <c r="RAN4752" s="691"/>
      <c r="RAO4752" s="689"/>
      <c r="RAP4752" s="691"/>
      <c r="RAQ4752" s="689"/>
      <c r="RAR4752" s="691"/>
      <c r="RAS4752" s="689"/>
      <c r="RAT4752" s="691"/>
      <c r="RAU4752" s="689"/>
      <c r="RAV4752" s="691"/>
      <c r="RAW4752" s="689"/>
      <c r="RAX4752" s="691"/>
      <c r="RAY4752" s="689"/>
      <c r="RAZ4752" s="691"/>
      <c r="RBA4752" s="689"/>
      <c r="RBB4752" s="691"/>
      <c r="RBC4752" s="689"/>
      <c r="RBD4752" s="691"/>
      <c r="RBE4752" s="689"/>
      <c r="RBF4752" s="691"/>
      <c r="RBG4752" s="689"/>
      <c r="RBH4752" s="691"/>
      <c r="RBI4752" s="689"/>
      <c r="RBJ4752" s="691"/>
      <c r="RBK4752" s="689"/>
      <c r="RBL4752" s="691"/>
      <c r="RBM4752" s="689"/>
      <c r="RBN4752" s="691"/>
      <c r="RBO4752" s="689"/>
      <c r="RBP4752" s="691"/>
      <c r="RBQ4752" s="689"/>
      <c r="RBR4752" s="691"/>
      <c r="RBS4752" s="689"/>
      <c r="RBT4752" s="691"/>
      <c r="RBU4752" s="689"/>
      <c r="RBV4752" s="691"/>
      <c r="RBW4752" s="689"/>
      <c r="RBX4752" s="691"/>
      <c r="RBY4752" s="689"/>
      <c r="RBZ4752" s="691"/>
      <c r="RCA4752" s="689"/>
      <c r="RCB4752" s="691"/>
      <c r="RCC4752" s="689"/>
      <c r="RCD4752" s="691"/>
      <c r="RCE4752" s="689"/>
      <c r="RCF4752" s="691"/>
      <c r="RCG4752" s="689"/>
      <c r="RCH4752" s="691"/>
      <c r="RCI4752" s="689"/>
      <c r="RCJ4752" s="691"/>
      <c r="RCK4752" s="689"/>
      <c r="RCL4752" s="691"/>
      <c r="RCM4752" s="689"/>
      <c r="RCN4752" s="691"/>
      <c r="RCO4752" s="689"/>
      <c r="RCP4752" s="691"/>
      <c r="RCQ4752" s="689"/>
      <c r="RCR4752" s="691"/>
      <c r="RCS4752" s="689"/>
      <c r="RCT4752" s="691"/>
      <c r="RCU4752" s="689"/>
      <c r="RCV4752" s="691"/>
      <c r="RCW4752" s="689"/>
      <c r="RCX4752" s="691"/>
      <c r="RCY4752" s="689"/>
      <c r="RCZ4752" s="691"/>
      <c r="RDA4752" s="689"/>
      <c r="RDB4752" s="691"/>
      <c r="RDC4752" s="689"/>
      <c r="RDD4752" s="691"/>
      <c r="RDE4752" s="689"/>
      <c r="RDF4752" s="691"/>
      <c r="RDG4752" s="689"/>
      <c r="RDH4752" s="691"/>
      <c r="RDI4752" s="689"/>
      <c r="RDJ4752" s="691"/>
      <c r="RDK4752" s="689"/>
      <c r="RDL4752" s="691"/>
      <c r="RDM4752" s="689"/>
      <c r="RDN4752" s="691"/>
      <c r="RDO4752" s="689"/>
      <c r="RDP4752" s="691"/>
      <c r="RDQ4752" s="689"/>
      <c r="RDR4752" s="691"/>
      <c r="RDS4752" s="689"/>
      <c r="RDT4752" s="691"/>
      <c r="RDU4752" s="689"/>
      <c r="RDV4752" s="691"/>
      <c r="RDW4752" s="689"/>
      <c r="RDX4752" s="691"/>
      <c r="RDY4752" s="689"/>
      <c r="RDZ4752" s="691"/>
      <c r="REA4752" s="689"/>
      <c r="REB4752" s="691"/>
      <c r="REC4752" s="689"/>
      <c r="RED4752" s="691"/>
      <c r="REE4752" s="689"/>
      <c r="REF4752" s="691"/>
      <c r="REG4752" s="689"/>
      <c r="REH4752" s="691"/>
      <c r="REI4752" s="689"/>
      <c r="REJ4752" s="691"/>
      <c r="REK4752" s="689"/>
      <c r="REL4752" s="691"/>
      <c r="REM4752" s="689"/>
      <c r="REN4752" s="691"/>
      <c r="REO4752" s="689"/>
      <c r="REP4752" s="691"/>
      <c r="REQ4752" s="689"/>
      <c r="RER4752" s="691"/>
      <c r="RES4752" s="689"/>
      <c r="RET4752" s="691"/>
      <c r="REU4752" s="689"/>
      <c r="REV4752" s="691"/>
      <c r="REW4752" s="689"/>
      <c r="REX4752" s="691"/>
      <c r="REY4752" s="689"/>
      <c r="REZ4752" s="691"/>
      <c r="RFA4752" s="689"/>
      <c r="RFB4752" s="691"/>
      <c r="RFC4752" s="689"/>
      <c r="RFD4752" s="691"/>
      <c r="RFE4752" s="689"/>
      <c r="RFF4752" s="691"/>
      <c r="RFG4752" s="689"/>
      <c r="RFH4752" s="691"/>
      <c r="RFI4752" s="689"/>
      <c r="RFJ4752" s="691"/>
      <c r="RFK4752" s="689"/>
      <c r="RFL4752" s="691"/>
      <c r="RFM4752" s="689"/>
      <c r="RFN4752" s="691"/>
      <c r="RFO4752" s="689"/>
      <c r="RFP4752" s="691"/>
      <c r="RFQ4752" s="689"/>
      <c r="RFR4752" s="691"/>
      <c r="RFS4752" s="689"/>
      <c r="RFT4752" s="691"/>
      <c r="RFU4752" s="689"/>
      <c r="RFV4752" s="691"/>
      <c r="RFW4752" s="689"/>
      <c r="RFX4752" s="691"/>
      <c r="RFY4752" s="689"/>
      <c r="RFZ4752" s="691"/>
      <c r="RGA4752" s="689"/>
      <c r="RGB4752" s="691"/>
      <c r="RGC4752" s="689"/>
      <c r="RGD4752" s="691"/>
      <c r="RGE4752" s="689"/>
      <c r="RGF4752" s="691"/>
      <c r="RGG4752" s="689"/>
      <c r="RGH4752" s="691"/>
      <c r="RGI4752" s="689"/>
      <c r="RGJ4752" s="691"/>
      <c r="RGK4752" s="689"/>
      <c r="RGL4752" s="691"/>
      <c r="RGM4752" s="689"/>
      <c r="RGN4752" s="691"/>
      <c r="RGO4752" s="689"/>
      <c r="RGP4752" s="691"/>
      <c r="RGQ4752" s="689"/>
      <c r="RGR4752" s="691"/>
      <c r="RGS4752" s="689"/>
      <c r="RGT4752" s="691"/>
      <c r="RGU4752" s="689"/>
      <c r="RGV4752" s="691"/>
      <c r="RGW4752" s="689"/>
      <c r="RGX4752" s="691"/>
      <c r="RGY4752" s="689"/>
      <c r="RGZ4752" s="691"/>
      <c r="RHA4752" s="689"/>
      <c r="RHB4752" s="691"/>
      <c r="RHC4752" s="689"/>
      <c r="RHD4752" s="691"/>
      <c r="RHE4752" s="689"/>
      <c r="RHF4752" s="691"/>
      <c r="RHG4752" s="689"/>
      <c r="RHH4752" s="691"/>
      <c r="RHI4752" s="689"/>
      <c r="RHJ4752" s="691"/>
      <c r="RHK4752" s="689"/>
      <c r="RHL4752" s="691"/>
      <c r="RHM4752" s="689"/>
      <c r="RHN4752" s="691"/>
      <c r="RHO4752" s="689"/>
      <c r="RHP4752" s="691"/>
      <c r="RHQ4752" s="689"/>
      <c r="RHR4752" s="691"/>
      <c r="RHS4752" s="689"/>
      <c r="RHT4752" s="691"/>
      <c r="RHU4752" s="689"/>
      <c r="RHV4752" s="691"/>
      <c r="RHW4752" s="689"/>
      <c r="RHX4752" s="691"/>
      <c r="RHY4752" s="689"/>
      <c r="RHZ4752" s="691"/>
      <c r="RIA4752" s="689"/>
      <c r="RIB4752" s="691"/>
      <c r="RIC4752" s="689"/>
      <c r="RID4752" s="691"/>
      <c r="RIE4752" s="689"/>
      <c r="RIF4752" s="691"/>
      <c r="RIG4752" s="689"/>
      <c r="RIH4752" s="691"/>
      <c r="RII4752" s="689"/>
      <c r="RIJ4752" s="691"/>
      <c r="RIK4752" s="689"/>
      <c r="RIL4752" s="691"/>
      <c r="RIM4752" s="689"/>
      <c r="RIN4752" s="691"/>
      <c r="RIO4752" s="689"/>
      <c r="RIP4752" s="691"/>
      <c r="RIQ4752" s="689"/>
      <c r="RIR4752" s="691"/>
      <c r="RIS4752" s="689"/>
      <c r="RIT4752" s="691"/>
      <c r="RIU4752" s="689"/>
      <c r="RIV4752" s="691"/>
      <c r="RIW4752" s="689"/>
      <c r="RIX4752" s="691"/>
      <c r="RIY4752" s="689"/>
      <c r="RIZ4752" s="691"/>
      <c r="RJA4752" s="689"/>
      <c r="RJB4752" s="691"/>
      <c r="RJC4752" s="689"/>
      <c r="RJD4752" s="691"/>
      <c r="RJE4752" s="689"/>
      <c r="RJF4752" s="691"/>
      <c r="RJG4752" s="689"/>
      <c r="RJH4752" s="691"/>
      <c r="RJI4752" s="689"/>
      <c r="RJJ4752" s="691"/>
      <c r="RJK4752" s="689"/>
      <c r="RJL4752" s="691"/>
      <c r="RJM4752" s="689"/>
      <c r="RJN4752" s="691"/>
      <c r="RJO4752" s="689"/>
      <c r="RJP4752" s="691"/>
      <c r="RJQ4752" s="689"/>
      <c r="RJR4752" s="691"/>
      <c r="RJS4752" s="689"/>
      <c r="RJT4752" s="691"/>
      <c r="RJU4752" s="689"/>
      <c r="RJV4752" s="691"/>
      <c r="RJW4752" s="689"/>
      <c r="RJX4752" s="691"/>
      <c r="RJY4752" s="689"/>
      <c r="RJZ4752" s="691"/>
      <c r="RKA4752" s="689"/>
      <c r="RKB4752" s="691"/>
      <c r="RKC4752" s="689"/>
      <c r="RKD4752" s="691"/>
      <c r="RKE4752" s="689"/>
      <c r="RKF4752" s="691"/>
      <c r="RKG4752" s="689"/>
      <c r="RKH4752" s="691"/>
      <c r="RKI4752" s="689"/>
      <c r="RKJ4752" s="691"/>
      <c r="RKK4752" s="689"/>
      <c r="RKL4752" s="691"/>
      <c r="RKM4752" s="689"/>
      <c r="RKN4752" s="691"/>
      <c r="RKO4752" s="689"/>
      <c r="RKP4752" s="691"/>
      <c r="RKQ4752" s="689"/>
      <c r="RKR4752" s="691"/>
      <c r="RKS4752" s="689"/>
      <c r="RKT4752" s="691"/>
      <c r="RKU4752" s="689"/>
      <c r="RKV4752" s="691"/>
      <c r="RKW4752" s="689"/>
      <c r="RKX4752" s="691"/>
      <c r="RKY4752" s="689"/>
      <c r="RKZ4752" s="691"/>
      <c r="RLA4752" s="689"/>
      <c r="RLB4752" s="691"/>
      <c r="RLC4752" s="689"/>
      <c r="RLD4752" s="691"/>
      <c r="RLE4752" s="689"/>
      <c r="RLF4752" s="691"/>
      <c r="RLG4752" s="689"/>
      <c r="RLH4752" s="691"/>
      <c r="RLI4752" s="689"/>
      <c r="RLJ4752" s="691"/>
      <c r="RLK4752" s="689"/>
      <c r="RLL4752" s="691"/>
      <c r="RLM4752" s="689"/>
      <c r="RLN4752" s="691"/>
      <c r="RLO4752" s="689"/>
      <c r="RLP4752" s="691"/>
      <c r="RLQ4752" s="689"/>
      <c r="RLR4752" s="691"/>
      <c r="RLS4752" s="689"/>
      <c r="RLT4752" s="691"/>
      <c r="RLU4752" s="689"/>
      <c r="RLV4752" s="691"/>
      <c r="RLW4752" s="689"/>
      <c r="RLX4752" s="691"/>
      <c r="RLY4752" s="689"/>
      <c r="RLZ4752" s="691"/>
      <c r="RMA4752" s="689"/>
      <c r="RMB4752" s="691"/>
      <c r="RMC4752" s="689"/>
      <c r="RMD4752" s="691"/>
      <c r="RME4752" s="689"/>
      <c r="RMF4752" s="691"/>
      <c r="RMG4752" s="689"/>
      <c r="RMH4752" s="691"/>
      <c r="RMI4752" s="689"/>
      <c r="RMJ4752" s="691"/>
      <c r="RMK4752" s="689"/>
      <c r="RML4752" s="691"/>
      <c r="RMM4752" s="689"/>
      <c r="RMN4752" s="691"/>
      <c r="RMO4752" s="689"/>
      <c r="RMP4752" s="691"/>
      <c r="RMQ4752" s="689"/>
      <c r="RMR4752" s="691"/>
      <c r="RMS4752" s="689"/>
      <c r="RMT4752" s="691"/>
      <c r="RMU4752" s="689"/>
      <c r="RMV4752" s="691"/>
      <c r="RMW4752" s="689"/>
      <c r="RMX4752" s="691"/>
      <c r="RMY4752" s="689"/>
      <c r="RMZ4752" s="691"/>
      <c r="RNA4752" s="689"/>
      <c r="RNB4752" s="691"/>
      <c r="RNC4752" s="689"/>
      <c r="RND4752" s="691"/>
      <c r="RNE4752" s="689"/>
      <c r="RNF4752" s="691"/>
      <c r="RNG4752" s="689"/>
      <c r="RNH4752" s="691"/>
      <c r="RNI4752" s="689"/>
      <c r="RNJ4752" s="691"/>
      <c r="RNK4752" s="689"/>
      <c r="RNL4752" s="691"/>
      <c r="RNM4752" s="689"/>
      <c r="RNN4752" s="691"/>
      <c r="RNO4752" s="689"/>
      <c r="RNP4752" s="691"/>
      <c r="RNQ4752" s="689"/>
      <c r="RNR4752" s="691"/>
      <c r="RNS4752" s="689"/>
      <c r="RNT4752" s="691"/>
      <c r="RNU4752" s="689"/>
      <c r="RNV4752" s="691"/>
      <c r="RNW4752" s="689"/>
      <c r="RNX4752" s="691"/>
      <c r="RNY4752" s="689"/>
      <c r="RNZ4752" s="691"/>
      <c r="ROA4752" s="689"/>
      <c r="ROB4752" s="691"/>
      <c r="ROC4752" s="689"/>
      <c r="ROD4752" s="691"/>
      <c r="ROE4752" s="689"/>
      <c r="ROF4752" s="691"/>
      <c r="ROG4752" s="689"/>
      <c r="ROH4752" s="691"/>
      <c r="ROI4752" s="689"/>
      <c r="ROJ4752" s="691"/>
      <c r="ROK4752" s="689"/>
      <c r="ROL4752" s="691"/>
      <c r="ROM4752" s="689"/>
      <c r="RON4752" s="691"/>
      <c r="ROO4752" s="689"/>
      <c r="ROP4752" s="691"/>
      <c r="ROQ4752" s="689"/>
      <c r="ROR4752" s="691"/>
      <c r="ROS4752" s="689"/>
      <c r="ROT4752" s="691"/>
      <c r="ROU4752" s="689"/>
      <c r="ROV4752" s="691"/>
      <c r="ROW4752" s="689"/>
      <c r="ROX4752" s="691"/>
      <c r="ROY4752" s="689"/>
      <c r="ROZ4752" s="691"/>
      <c r="RPA4752" s="689"/>
      <c r="RPB4752" s="691"/>
      <c r="RPC4752" s="689"/>
      <c r="RPD4752" s="691"/>
      <c r="RPE4752" s="689"/>
      <c r="RPF4752" s="691"/>
      <c r="RPG4752" s="689"/>
      <c r="RPH4752" s="691"/>
      <c r="RPI4752" s="689"/>
      <c r="RPJ4752" s="691"/>
      <c r="RPK4752" s="689"/>
      <c r="RPL4752" s="691"/>
      <c r="RPM4752" s="689"/>
      <c r="RPN4752" s="691"/>
      <c r="RPO4752" s="689"/>
      <c r="RPP4752" s="691"/>
      <c r="RPQ4752" s="689"/>
      <c r="RPR4752" s="691"/>
      <c r="RPS4752" s="689"/>
      <c r="RPT4752" s="691"/>
      <c r="RPU4752" s="689"/>
      <c r="RPV4752" s="691"/>
      <c r="RPW4752" s="689"/>
      <c r="RPX4752" s="691"/>
      <c r="RPY4752" s="689"/>
      <c r="RPZ4752" s="691"/>
      <c r="RQA4752" s="689"/>
      <c r="RQB4752" s="691"/>
      <c r="RQC4752" s="689"/>
      <c r="RQD4752" s="691"/>
      <c r="RQE4752" s="689"/>
      <c r="RQF4752" s="691"/>
      <c r="RQG4752" s="689"/>
      <c r="RQH4752" s="691"/>
      <c r="RQI4752" s="689"/>
      <c r="RQJ4752" s="691"/>
      <c r="RQK4752" s="689"/>
      <c r="RQL4752" s="691"/>
      <c r="RQM4752" s="689"/>
      <c r="RQN4752" s="691"/>
      <c r="RQO4752" s="689"/>
      <c r="RQP4752" s="691"/>
      <c r="RQQ4752" s="689"/>
      <c r="RQR4752" s="691"/>
      <c r="RQS4752" s="689"/>
      <c r="RQT4752" s="691"/>
      <c r="RQU4752" s="689"/>
      <c r="RQV4752" s="691"/>
      <c r="RQW4752" s="689"/>
      <c r="RQX4752" s="691"/>
      <c r="RQY4752" s="689"/>
      <c r="RQZ4752" s="691"/>
      <c r="RRA4752" s="689"/>
      <c r="RRB4752" s="691"/>
      <c r="RRC4752" s="689"/>
      <c r="RRD4752" s="691"/>
      <c r="RRE4752" s="689"/>
      <c r="RRF4752" s="691"/>
      <c r="RRG4752" s="689"/>
      <c r="RRH4752" s="691"/>
      <c r="RRI4752" s="689"/>
      <c r="RRJ4752" s="691"/>
      <c r="RRK4752" s="689"/>
      <c r="RRL4752" s="691"/>
      <c r="RRM4752" s="689"/>
      <c r="RRN4752" s="691"/>
      <c r="RRO4752" s="689"/>
      <c r="RRP4752" s="691"/>
      <c r="RRQ4752" s="689"/>
      <c r="RRR4752" s="691"/>
      <c r="RRS4752" s="689"/>
      <c r="RRT4752" s="691"/>
      <c r="RRU4752" s="689"/>
      <c r="RRV4752" s="691"/>
      <c r="RRW4752" s="689"/>
      <c r="RRX4752" s="691"/>
      <c r="RRY4752" s="689"/>
      <c r="RRZ4752" s="691"/>
      <c r="RSA4752" s="689"/>
      <c r="RSB4752" s="691"/>
      <c r="RSC4752" s="689"/>
      <c r="RSD4752" s="691"/>
      <c r="RSE4752" s="689"/>
      <c r="RSF4752" s="691"/>
      <c r="RSG4752" s="689"/>
      <c r="RSH4752" s="691"/>
      <c r="RSI4752" s="689"/>
      <c r="RSJ4752" s="691"/>
      <c r="RSK4752" s="689"/>
      <c r="RSL4752" s="691"/>
      <c r="RSM4752" s="689"/>
      <c r="RSN4752" s="691"/>
      <c r="RSO4752" s="689"/>
      <c r="RSP4752" s="691"/>
      <c r="RSQ4752" s="689"/>
      <c r="RSR4752" s="691"/>
      <c r="RSS4752" s="689"/>
      <c r="RST4752" s="691"/>
      <c r="RSU4752" s="689"/>
      <c r="RSV4752" s="691"/>
      <c r="RSW4752" s="689"/>
      <c r="RSX4752" s="691"/>
      <c r="RSY4752" s="689"/>
      <c r="RSZ4752" s="691"/>
      <c r="RTA4752" s="689"/>
      <c r="RTB4752" s="691"/>
      <c r="RTC4752" s="689"/>
      <c r="RTD4752" s="691"/>
      <c r="RTE4752" s="689"/>
      <c r="RTF4752" s="691"/>
      <c r="RTG4752" s="689"/>
      <c r="RTH4752" s="691"/>
      <c r="RTI4752" s="689"/>
      <c r="RTJ4752" s="691"/>
      <c r="RTK4752" s="689"/>
      <c r="RTL4752" s="691"/>
      <c r="RTM4752" s="689"/>
      <c r="RTN4752" s="691"/>
      <c r="RTO4752" s="689"/>
      <c r="RTP4752" s="691"/>
      <c r="RTQ4752" s="689"/>
      <c r="RTR4752" s="691"/>
      <c r="RTS4752" s="689"/>
      <c r="RTT4752" s="691"/>
      <c r="RTU4752" s="689"/>
      <c r="RTV4752" s="691"/>
      <c r="RTW4752" s="689"/>
      <c r="RTX4752" s="691"/>
      <c r="RTY4752" s="689"/>
      <c r="RTZ4752" s="691"/>
      <c r="RUA4752" s="689"/>
      <c r="RUB4752" s="691"/>
      <c r="RUC4752" s="689"/>
      <c r="RUD4752" s="691"/>
      <c r="RUE4752" s="689"/>
      <c r="RUF4752" s="691"/>
      <c r="RUG4752" s="689"/>
      <c r="RUH4752" s="691"/>
      <c r="RUI4752" s="689"/>
      <c r="RUJ4752" s="691"/>
      <c r="RUK4752" s="689"/>
      <c r="RUL4752" s="691"/>
      <c r="RUM4752" s="689"/>
      <c r="RUN4752" s="691"/>
      <c r="RUO4752" s="689"/>
      <c r="RUP4752" s="691"/>
      <c r="RUQ4752" s="689"/>
      <c r="RUR4752" s="691"/>
      <c r="RUS4752" s="689"/>
      <c r="RUT4752" s="691"/>
      <c r="RUU4752" s="689"/>
      <c r="RUV4752" s="691"/>
      <c r="RUW4752" s="689"/>
      <c r="RUX4752" s="691"/>
      <c r="RUY4752" s="689"/>
      <c r="RUZ4752" s="691"/>
      <c r="RVA4752" s="689"/>
      <c r="RVB4752" s="691"/>
      <c r="RVC4752" s="689"/>
      <c r="RVD4752" s="691"/>
      <c r="RVE4752" s="689"/>
      <c r="RVF4752" s="691"/>
      <c r="RVG4752" s="689"/>
      <c r="RVH4752" s="691"/>
      <c r="RVI4752" s="689"/>
      <c r="RVJ4752" s="691"/>
      <c r="RVK4752" s="689"/>
      <c r="RVL4752" s="691"/>
      <c r="RVM4752" s="689"/>
      <c r="RVN4752" s="691"/>
      <c r="RVO4752" s="689"/>
      <c r="RVP4752" s="691"/>
      <c r="RVQ4752" s="689"/>
      <c r="RVR4752" s="691"/>
      <c r="RVS4752" s="689"/>
      <c r="RVT4752" s="691"/>
      <c r="RVU4752" s="689"/>
      <c r="RVV4752" s="691"/>
      <c r="RVW4752" s="689"/>
      <c r="RVX4752" s="691"/>
      <c r="RVY4752" s="689"/>
      <c r="RVZ4752" s="691"/>
      <c r="RWA4752" s="689"/>
      <c r="RWB4752" s="691"/>
      <c r="RWC4752" s="689"/>
      <c r="RWD4752" s="691"/>
      <c r="RWE4752" s="689"/>
      <c r="RWF4752" s="691"/>
      <c r="RWG4752" s="689"/>
      <c r="RWH4752" s="691"/>
      <c r="RWI4752" s="689"/>
      <c r="RWJ4752" s="691"/>
      <c r="RWK4752" s="689"/>
      <c r="RWL4752" s="691"/>
      <c r="RWM4752" s="689"/>
      <c r="RWN4752" s="691"/>
      <c r="RWO4752" s="689"/>
      <c r="RWP4752" s="691"/>
      <c r="RWQ4752" s="689"/>
      <c r="RWR4752" s="691"/>
      <c r="RWS4752" s="689"/>
      <c r="RWT4752" s="691"/>
      <c r="RWU4752" s="689"/>
      <c r="RWV4752" s="691"/>
      <c r="RWW4752" s="689"/>
      <c r="RWX4752" s="691"/>
      <c r="RWY4752" s="689"/>
      <c r="RWZ4752" s="691"/>
      <c r="RXA4752" s="689"/>
      <c r="RXB4752" s="691"/>
      <c r="RXC4752" s="689"/>
      <c r="RXD4752" s="691"/>
      <c r="RXE4752" s="689"/>
      <c r="RXF4752" s="691"/>
      <c r="RXG4752" s="689"/>
      <c r="RXH4752" s="691"/>
      <c r="RXI4752" s="689"/>
      <c r="RXJ4752" s="691"/>
      <c r="RXK4752" s="689"/>
      <c r="RXL4752" s="691"/>
      <c r="RXM4752" s="689"/>
      <c r="RXN4752" s="691"/>
      <c r="RXO4752" s="689"/>
      <c r="RXP4752" s="691"/>
      <c r="RXQ4752" s="689"/>
      <c r="RXR4752" s="691"/>
      <c r="RXS4752" s="689"/>
      <c r="RXT4752" s="691"/>
      <c r="RXU4752" s="689"/>
      <c r="RXV4752" s="691"/>
      <c r="RXW4752" s="689"/>
      <c r="RXX4752" s="691"/>
      <c r="RXY4752" s="689"/>
      <c r="RXZ4752" s="691"/>
      <c r="RYA4752" s="689"/>
      <c r="RYB4752" s="691"/>
      <c r="RYC4752" s="689"/>
      <c r="RYD4752" s="691"/>
      <c r="RYE4752" s="689"/>
      <c r="RYF4752" s="691"/>
      <c r="RYG4752" s="689"/>
      <c r="RYH4752" s="691"/>
      <c r="RYI4752" s="689"/>
      <c r="RYJ4752" s="691"/>
      <c r="RYK4752" s="689"/>
      <c r="RYL4752" s="691"/>
      <c r="RYM4752" s="689"/>
      <c r="RYN4752" s="691"/>
      <c r="RYO4752" s="689"/>
      <c r="RYP4752" s="691"/>
      <c r="RYQ4752" s="689"/>
      <c r="RYR4752" s="691"/>
      <c r="RYS4752" s="689"/>
      <c r="RYT4752" s="691"/>
      <c r="RYU4752" s="689"/>
      <c r="RYV4752" s="691"/>
      <c r="RYW4752" s="689"/>
      <c r="RYX4752" s="691"/>
      <c r="RYY4752" s="689"/>
      <c r="RYZ4752" s="691"/>
      <c r="RZA4752" s="689"/>
      <c r="RZB4752" s="691"/>
      <c r="RZC4752" s="689"/>
      <c r="RZD4752" s="691"/>
      <c r="RZE4752" s="689"/>
      <c r="RZF4752" s="691"/>
      <c r="RZG4752" s="689"/>
      <c r="RZH4752" s="691"/>
      <c r="RZI4752" s="689"/>
      <c r="RZJ4752" s="691"/>
      <c r="RZK4752" s="689"/>
      <c r="RZL4752" s="691"/>
      <c r="RZM4752" s="689"/>
      <c r="RZN4752" s="691"/>
      <c r="RZO4752" s="689"/>
      <c r="RZP4752" s="691"/>
      <c r="RZQ4752" s="689"/>
      <c r="RZR4752" s="691"/>
      <c r="RZS4752" s="689"/>
      <c r="RZT4752" s="691"/>
      <c r="RZU4752" s="689"/>
      <c r="RZV4752" s="691"/>
      <c r="RZW4752" s="689"/>
      <c r="RZX4752" s="691"/>
      <c r="RZY4752" s="689"/>
      <c r="RZZ4752" s="691"/>
      <c r="SAA4752" s="689"/>
      <c r="SAB4752" s="691"/>
      <c r="SAC4752" s="689"/>
      <c r="SAD4752" s="691"/>
      <c r="SAE4752" s="689"/>
      <c r="SAF4752" s="691"/>
      <c r="SAG4752" s="689"/>
      <c r="SAH4752" s="691"/>
      <c r="SAI4752" s="689"/>
      <c r="SAJ4752" s="691"/>
      <c r="SAK4752" s="689"/>
      <c r="SAL4752" s="691"/>
      <c r="SAM4752" s="689"/>
      <c r="SAN4752" s="691"/>
      <c r="SAO4752" s="689"/>
      <c r="SAP4752" s="691"/>
      <c r="SAQ4752" s="689"/>
      <c r="SAR4752" s="691"/>
      <c r="SAS4752" s="689"/>
      <c r="SAT4752" s="691"/>
      <c r="SAU4752" s="689"/>
      <c r="SAV4752" s="691"/>
      <c r="SAW4752" s="689"/>
      <c r="SAX4752" s="691"/>
      <c r="SAY4752" s="689"/>
      <c r="SAZ4752" s="691"/>
      <c r="SBA4752" s="689"/>
      <c r="SBB4752" s="691"/>
      <c r="SBC4752" s="689"/>
      <c r="SBD4752" s="691"/>
      <c r="SBE4752" s="689"/>
      <c r="SBF4752" s="691"/>
      <c r="SBG4752" s="689"/>
      <c r="SBH4752" s="691"/>
      <c r="SBI4752" s="689"/>
      <c r="SBJ4752" s="691"/>
      <c r="SBK4752" s="689"/>
      <c r="SBL4752" s="691"/>
      <c r="SBM4752" s="689"/>
      <c r="SBN4752" s="691"/>
      <c r="SBO4752" s="689"/>
      <c r="SBP4752" s="691"/>
      <c r="SBQ4752" s="689"/>
      <c r="SBR4752" s="691"/>
      <c r="SBS4752" s="689"/>
      <c r="SBT4752" s="691"/>
      <c r="SBU4752" s="689"/>
      <c r="SBV4752" s="691"/>
      <c r="SBW4752" s="689"/>
      <c r="SBX4752" s="691"/>
      <c r="SBY4752" s="689"/>
      <c r="SBZ4752" s="691"/>
      <c r="SCA4752" s="689"/>
      <c r="SCB4752" s="691"/>
      <c r="SCC4752" s="689"/>
      <c r="SCD4752" s="691"/>
      <c r="SCE4752" s="689"/>
      <c r="SCF4752" s="691"/>
      <c r="SCG4752" s="689"/>
      <c r="SCH4752" s="691"/>
      <c r="SCI4752" s="689"/>
      <c r="SCJ4752" s="691"/>
      <c r="SCK4752" s="689"/>
      <c r="SCL4752" s="691"/>
      <c r="SCM4752" s="689"/>
      <c r="SCN4752" s="691"/>
      <c r="SCO4752" s="689"/>
      <c r="SCP4752" s="691"/>
      <c r="SCQ4752" s="689"/>
      <c r="SCR4752" s="691"/>
      <c r="SCS4752" s="689"/>
      <c r="SCT4752" s="691"/>
      <c r="SCU4752" s="689"/>
      <c r="SCV4752" s="691"/>
      <c r="SCW4752" s="689"/>
      <c r="SCX4752" s="691"/>
      <c r="SCY4752" s="689"/>
      <c r="SCZ4752" s="691"/>
      <c r="SDA4752" s="689"/>
      <c r="SDB4752" s="691"/>
      <c r="SDC4752" s="689"/>
      <c r="SDD4752" s="691"/>
      <c r="SDE4752" s="689"/>
      <c r="SDF4752" s="691"/>
      <c r="SDG4752" s="689"/>
      <c r="SDH4752" s="691"/>
      <c r="SDI4752" s="689"/>
      <c r="SDJ4752" s="691"/>
      <c r="SDK4752" s="689"/>
      <c r="SDL4752" s="691"/>
      <c r="SDM4752" s="689"/>
      <c r="SDN4752" s="691"/>
      <c r="SDO4752" s="689"/>
      <c r="SDP4752" s="691"/>
      <c r="SDQ4752" s="689"/>
      <c r="SDR4752" s="691"/>
      <c r="SDS4752" s="689"/>
      <c r="SDT4752" s="691"/>
      <c r="SDU4752" s="689"/>
      <c r="SDV4752" s="691"/>
      <c r="SDW4752" s="689"/>
      <c r="SDX4752" s="691"/>
      <c r="SDY4752" s="689"/>
      <c r="SDZ4752" s="691"/>
      <c r="SEA4752" s="689"/>
      <c r="SEB4752" s="691"/>
      <c r="SEC4752" s="689"/>
      <c r="SED4752" s="691"/>
      <c r="SEE4752" s="689"/>
      <c r="SEF4752" s="691"/>
      <c r="SEG4752" s="689"/>
      <c r="SEH4752" s="691"/>
      <c r="SEI4752" s="689"/>
      <c r="SEJ4752" s="691"/>
      <c r="SEK4752" s="689"/>
      <c r="SEL4752" s="691"/>
      <c r="SEM4752" s="689"/>
      <c r="SEN4752" s="691"/>
      <c r="SEO4752" s="689"/>
      <c r="SEP4752" s="691"/>
      <c r="SEQ4752" s="689"/>
      <c r="SER4752" s="691"/>
      <c r="SES4752" s="689"/>
      <c r="SET4752" s="691"/>
      <c r="SEU4752" s="689"/>
      <c r="SEV4752" s="691"/>
      <c r="SEW4752" s="689"/>
      <c r="SEX4752" s="691"/>
      <c r="SEY4752" s="689"/>
      <c r="SEZ4752" s="691"/>
      <c r="SFA4752" s="689"/>
      <c r="SFB4752" s="691"/>
      <c r="SFC4752" s="689"/>
      <c r="SFD4752" s="691"/>
      <c r="SFE4752" s="689"/>
      <c r="SFF4752" s="691"/>
      <c r="SFG4752" s="689"/>
      <c r="SFH4752" s="691"/>
      <c r="SFI4752" s="689"/>
      <c r="SFJ4752" s="691"/>
      <c r="SFK4752" s="689"/>
      <c r="SFL4752" s="691"/>
      <c r="SFM4752" s="689"/>
      <c r="SFN4752" s="691"/>
      <c r="SFO4752" s="689"/>
      <c r="SFP4752" s="691"/>
      <c r="SFQ4752" s="689"/>
      <c r="SFR4752" s="691"/>
      <c r="SFS4752" s="689"/>
      <c r="SFT4752" s="691"/>
      <c r="SFU4752" s="689"/>
      <c r="SFV4752" s="691"/>
      <c r="SFW4752" s="689"/>
      <c r="SFX4752" s="691"/>
      <c r="SFY4752" s="689"/>
      <c r="SFZ4752" s="691"/>
      <c r="SGA4752" s="689"/>
      <c r="SGB4752" s="691"/>
      <c r="SGC4752" s="689"/>
      <c r="SGD4752" s="691"/>
      <c r="SGE4752" s="689"/>
      <c r="SGF4752" s="691"/>
      <c r="SGG4752" s="689"/>
      <c r="SGH4752" s="691"/>
      <c r="SGI4752" s="689"/>
      <c r="SGJ4752" s="691"/>
      <c r="SGK4752" s="689"/>
      <c r="SGL4752" s="691"/>
      <c r="SGM4752" s="689"/>
      <c r="SGN4752" s="691"/>
      <c r="SGO4752" s="689"/>
      <c r="SGP4752" s="691"/>
      <c r="SGQ4752" s="689"/>
      <c r="SGR4752" s="691"/>
      <c r="SGS4752" s="689"/>
      <c r="SGT4752" s="691"/>
      <c r="SGU4752" s="689"/>
      <c r="SGV4752" s="691"/>
      <c r="SGW4752" s="689"/>
      <c r="SGX4752" s="691"/>
      <c r="SGY4752" s="689"/>
      <c r="SGZ4752" s="691"/>
      <c r="SHA4752" s="689"/>
      <c r="SHB4752" s="691"/>
      <c r="SHC4752" s="689"/>
      <c r="SHD4752" s="691"/>
      <c r="SHE4752" s="689"/>
      <c r="SHF4752" s="691"/>
      <c r="SHG4752" s="689"/>
      <c r="SHH4752" s="691"/>
      <c r="SHI4752" s="689"/>
      <c r="SHJ4752" s="691"/>
      <c r="SHK4752" s="689"/>
      <c r="SHL4752" s="691"/>
      <c r="SHM4752" s="689"/>
      <c r="SHN4752" s="691"/>
      <c r="SHO4752" s="689"/>
      <c r="SHP4752" s="691"/>
      <c r="SHQ4752" s="689"/>
      <c r="SHR4752" s="691"/>
      <c r="SHS4752" s="689"/>
      <c r="SHT4752" s="691"/>
      <c r="SHU4752" s="689"/>
      <c r="SHV4752" s="691"/>
      <c r="SHW4752" s="689"/>
      <c r="SHX4752" s="691"/>
      <c r="SHY4752" s="689"/>
      <c r="SHZ4752" s="691"/>
      <c r="SIA4752" s="689"/>
      <c r="SIB4752" s="691"/>
      <c r="SIC4752" s="689"/>
      <c r="SID4752" s="691"/>
      <c r="SIE4752" s="689"/>
      <c r="SIF4752" s="691"/>
      <c r="SIG4752" s="689"/>
      <c r="SIH4752" s="691"/>
      <c r="SII4752" s="689"/>
      <c r="SIJ4752" s="691"/>
      <c r="SIK4752" s="689"/>
      <c r="SIL4752" s="691"/>
      <c r="SIM4752" s="689"/>
      <c r="SIN4752" s="691"/>
      <c r="SIO4752" s="689"/>
      <c r="SIP4752" s="691"/>
      <c r="SIQ4752" s="689"/>
      <c r="SIR4752" s="691"/>
      <c r="SIS4752" s="689"/>
      <c r="SIT4752" s="691"/>
      <c r="SIU4752" s="689"/>
      <c r="SIV4752" s="691"/>
      <c r="SIW4752" s="689"/>
      <c r="SIX4752" s="691"/>
      <c r="SIY4752" s="689"/>
      <c r="SIZ4752" s="691"/>
      <c r="SJA4752" s="689"/>
      <c r="SJB4752" s="691"/>
      <c r="SJC4752" s="689"/>
      <c r="SJD4752" s="691"/>
      <c r="SJE4752" s="689"/>
      <c r="SJF4752" s="691"/>
      <c r="SJG4752" s="689"/>
      <c r="SJH4752" s="691"/>
      <c r="SJI4752" s="689"/>
      <c r="SJJ4752" s="691"/>
      <c r="SJK4752" s="689"/>
      <c r="SJL4752" s="691"/>
      <c r="SJM4752" s="689"/>
      <c r="SJN4752" s="691"/>
      <c r="SJO4752" s="689"/>
      <c r="SJP4752" s="691"/>
      <c r="SJQ4752" s="689"/>
      <c r="SJR4752" s="691"/>
      <c r="SJS4752" s="689"/>
      <c r="SJT4752" s="691"/>
      <c r="SJU4752" s="689"/>
      <c r="SJV4752" s="691"/>
      <c r="SJW4752" s="689"/>
      <c r="SJX4752" s="691"/>
      <c r="SJY4752" s="689"/>
      <c r="SJZ4752" s="691"/>
      <c r="SKA4752" s="689"/>
      <c r="SKB4752" s="691"/>
      <c r="SKC4752" s="689"/>
      <c r="SKD4752" s="691"/>
      <c r="SKE4752" s="689"/>
      <c r="SKF4752" s="691"/>
      <c r="SKG4752" s="689"/>
      <c r="SKH4752" s="691"/>
      <c r="SKI4752" s="689"/>
      <c r="SKJ4752" s="691"/>
      <c r="SKK4752" s="689"/>
      <c r="SKL4752" s="691"/>
      <c r="SKM4752" s="689"/>
      <c r="SKN4752" s="691"/>
      <c r="SKO4752" s="689"/>
      <c r="SKP4752" s="691"/>
      <c r="SKQ4752" s="689"/>
      <c r="SKR4752" s="691"/>
      <c r="SKS4752" s="689"/>
      <c r="SKT4752" s="691"/>
      <c r="SKU4752" s="689"/>
      <c r="SKV4752" s="691"/>
      <c r="SKW4752" s="689"/>
      <c r="SKX4752" s="691"/>
      <c r="SKY4752" s="689"/>
      <c r="SKZ4752" s="691"/>
      <c r="SLA4752" s="689"/>
      <c r="SLB4752" s="691"/>
      <c r="SLC4752" s="689"/>
      <c r="SLD4752" s="691"/>
      <c r="SLE4752" s="689"/>
      <c r="SLF4752" s="691"/>
      <c r="SLG4752" s="689"/>
      <c r="SLH4752" s="691"/>
      <c r="SLI4752" s="689"/>
      <c r="SLJ4752" s="691"/>
      <c r="SLK4752" s="689"/>
      <c r="SLL4752" s="691"/>
      <c r="SLM4752" s="689"/>
      <c r="SLN4752" s="691"/>
      <c r="SLO4752" s="689"/>
      <c r="SLP4752" s="691"/>
      <c r="SLQ4752" s="689"/>
      <c r="SLR4752" s="691"/>
      <c r="SLS4752" s="689"/>
      <c r="SLT4752" s="691"/>
      <c r="SLU4752" s="689"/>
      <c r="SLV4752" s="691"/>
      <c r="SLW4752" s="689"/>
      <c r="SLX4752" s="691"/>
      <c r="SLY4752" s="689"/>
      <c r="SLZ4752" s="691"/>
      <c r="SMA4752" s="689"/>
      <c r="SMB4752" s="691"/>
      <c r="SMC4752" s="689"/>
      <c r="SMD4752" s="691"/>
      <c r="SME4752" s="689"/>
      <c r="SMF4752" s="691"/>
      <c r="SMG4752" s="689"/>
      <c r="SMH4752" s="691"/>
      <c r="SMI4752" s="689"/>
      <c r="SMJ4752" s="691"/>
      <c r="SMK4752" s="689"/>
      <c r="SML4752" s="691"/>
      <c r="SMM4752" s="689"/>
      <c r="SMN4752" s="691"/>
      <c r="SMO4752" s="689"/>
      <c r="SMP4752" s="691"/>
      <c r="SMQ4752" s="689"/>
      <c r="SMR4752" s="691"/>
      <c r="SMS4752" s="689"/>
      <c r="SMT4752" s="691"/>
      <c r="SMU4752" s="689"/>
      <c r="SMV4752" s="691"/>
      <c r="SMW4752" s="689"/>
      <c r="SMX4752" s="691"/>
      <c r="SMY4752" s="689"/>
      <c r="SMZ4752" s="691"/>
      <c r="SNA4752" s="689"/>
      <c r="SNB4752" s="691"/>
      <c r="SNC4752" s="689"/>
      <c r="SND4752" s="691"/>
      <c r="SNE4752" s="689"/>
      <c r="SNF4752" s="691"/>
      <c r="SNG4752" s="689"/>
      <c r="SNH4752" s="691"/>
      <c r="SNI4752" s="689"/>
      <c r="SNJ4752" s="691"/>
      <c r="SNK4752" s="689"/>
      <c r="SNL4752" s="691"/>
      <c r="SNM4752" s="689"/>
      <c r="SNN4752" s="691"/>
      <c r="SNO4752" s="689"/>
      <c r="SNP4752" s="691"/>
      <c r="SNQ4752" s="689"/>
      <c r="SNR4752" s="691"/>
      <c r="SNS4752" s="689"/>
      <c r="SNT4752" s="691"/>
      <c r="SNU4752" s="689"/>
      <c r="SNV4752" s="691"/>
      <c r="SNW4752" s="689"/>
      <c r="SNX4752" s="691"/>
      <c r="SNY4752" s="689"/>
      <c r="SNZ4752" s="691"/>
      <c r="SOA4752" s="689"/>
      <c r="SOB4752" s="691"/>
      <c r="SOC4752" s="689"/>
      <c r="SOD4752" s="691"/>
      <c r="SOE4752" s="689"/>
      <c r="SOF4752" s="691"/>
      <c r="SOG4752" s="689"/>
      <c r="SOH4752" s="691"/>
      <c r="SOI4752" s="689"/>
      <c r="SOJ4752" s="691"/>
      <c r="SOK4752" s="689"/>
      <c r="SOL4752" s="691"/>
      <c r="SOM4752" s="689"/>
      <c r="SON4752" s="691"/>
      <c r="SOO4752" s="689"/>
      <c r="SOP4752" s="691"/>
      <c r="SOQ4752" s="689"/>
      <c r="SOR4752" s="691"/>
      <c r="SOS4752" s="689"/>
      <c r="SOT4752" s="691"/>
      <c r="SOU4752" s="689"/>
      <c r="SOV4752" s="691"/>
      <c r="SOW4752" s="689"/>
      <c r="SOX4752" s="691"/>
      <c r="SOY4752" s="689"/>
      <c r="SOZ4752" s="691"/>
      <c r="SPA4752" s="689"/>
      <c r="SPB4752" s="691"/>
      <c r="SPC4752" s="689"/>
      <c r="SPD4752" s="691"/>
      <c r="SPE4752" s="689"/>
      <c r="SPF4752" s="691"/>
      <c r="SPG4752" s="689"/>
      <c r="SPH4752" s="691"/>
      <c r="SPI4752" s="689"/>
      <c r="SPJ4752" s="691"/>
      <c r="SPK4752" s="689"/>
      <c r="SPL4752" s="691"/>
      <c r="SPM4752" s="689"/>
      <c r="SPN4752" s="691"/>
      <c r="SPO4752" s="689"/>
      <c r="SPP4752" s="691"/>
      <c r="SPQ4752" s="689"/>
      <c r="SPR4752" s="691"/>
      <c r="SPS4752" s="689"/>
      <c r="SPT4752" s="691"/>
      <c r="SPU4752" s="689"/>
      <c r="SPV4752" s="691"/>
      <c r="SPW4752" s="689"/>
      <c r="SPX4752" s="691"/>
      <c r="SPY4752" s="689"/>
      <c r="SPZ4752" s="691"/>
      <c r="SQA4752" s="689"/>
      <c r="SQB4752" s="691"/>
      <c r="SQC4752" s="689"/>
      <c r="SQD4752" s="691"/>
      <c r="SQE4752" s="689"/>
      <c r="SQF4752" s="691"/>
      <c r="SQG4752" s="689"/>
      <c r="SQH4752" s="691"/>
      <c r="SQI4752" s="689"/>
      <c r="SQJ4752" s="691"/>
      <c r="SQK4752" s="689"/>
      <c r="SQL4752" s="691"/>
      <c r="SQM4752" s="689"/>
      <c r="SQN4752" s="691"/>
      <c r="SQO4752" s="689"/>
      <c r="SQP4752" s="691"/>
      <c r="SQQ4752" s="689"/>
      <c r="SQR4752" s="691"/>
      <c r="SQS4752" s="689"/>
      <c r="SQT4752" s="691"/>
      <c r="SQU4752" s="689"/>
      <c r="SQV4752" s="691"/>
      <c r="SQW4752" s="689"/>
      <c r="SQX4752" s="691"/>
      <c r="SQY4752" s="689"/>
      <c r="SQZ4752" s="691"/>
      <c r="SRA4752" s="689"/>
      <c r="SRB4752" s="691"/>
      <c r="SRC4752" s="689"/>
      <c r="SRD4752" s="691"/>
      <c r="SRE4752" s="689"/>
      <c r="SRF4752" s="691"/>
      <c r="SRG4752" s="689"/>
      <c r="SRH4752" s="691"/>
      <c r="SRI4752" s="689"/>
      <c r="SRJ4752" s="691"/>
      <c r="SRK4752" s="689"/>
      <c r="SRL4752" s="691"/>
      <c r="SRM4752" s="689"/>
      <c r="SRN4752" s="691"/>
      <c r="SRO4752" s="689"/>
      <c r="SRP4752" s="691"/>
      <c r="SRQ4752" s="689"/>
      <c r="SRR4752" s="691"/>
      <c r="SRS4752" s="689"/>
      <c r="SRT4752" s="691"/>
      <c r="SRU4752" s="689"/>
      <c r="SRV4752" s="691"/>
      <c r="SRW4752" s="689"/>
      <c r="SRX4752" s="691"/>
      <c r="SRY4752" s="689"/>
      <c r="SRZ4752" s="691"/>
      <c r="SSA4752" s="689"/>
      <c r="SSB4752" s="691"/>
      <c r="SSC4752" s="689"/>
      <c r="SSD4752" s="691"/>
      <c r="SSE4752" s="689"/>
      <c r="SSF4752" s="691"/>
      <c r="SSG4752" s="689"/>
      <c r="SSH4752" s="691"/>
      <c r="SSI4752" s="689"/>
      <c r="SSJ4752" s="691"/>
      <c r="SSK4752" s="689"/>
      <c r="SSL4752" s="691"/>
      <c r="SSM4752" s="689"/>
      <c r="SSN4752" s="691"/>
      <c r="SSO4752" s="689"/>
      <c r="SSP4752" s="691"/>
      <c r="SSQ4752" s="689"/>
      <c r="SSR4752" s="691"/>
      <c r="SSS4752" s="689"/>
      <c r="SST4752" s="691"/>
      <c r="SSU4752" s="689"/>
      <c r="SSV4752" s="691"/>
      <c r="SSW4752" s="689"/>
      <c r="SSX4752" s="691"/>
      <c r="SSY4752" s="689"/>
      <c r="SSZ4752" s="691"/>
      <c r="STA4752" s="689"/>
      <c r="STB4752" s="691"/>
      <c r="STC4752" s="689"/>
      <c r="STD4752" s="691"/>
      <c r="STE4752" s="689"/>
      <c r="STF4752" s="691"/>
      <c r="STG4752" s="689"/>
      <c r="STH4752" s="691"/>
      <c r="STI4752" s="689"/>
      <c r="STJ4752" s="691"/>
      <c r="STK4752" s="689"/>
      <c r="STL4752" s="691"/>
      <c r="STM4752" s="689"/>
      <c r="STN4752" s="691"/>
      <c r="STO4752" s="689"/>
      <c r="STP4752" s="691"/>
      <c r="STQ4752" s="689"/>
      <c r="STR4752" s="691"/>
      <c r="STS4752" s="689"/>
      <c r="STT4752" s="691"/>
      <c r="STU4752" s="689"/>
      <c r="STV4752" s="691"/>
      <c r="STW4752" s="689"/>
      <c r="STX4752" s="691"/>
      <c r="STY4752" s="689"/>
      <c r="STZ4752" s="691"/>
      <c r="SUA4752" s="689"/>
      <c r="SUB4752" s="691"/>
      <c r="SUC4752" s="689"/>
      <c r="SUD4752" s="691"/>
      <c r="SUE4752" s="689"/>
      <c r="SUF4752" s="691"/>
      <c r="SUG4752" s="689"/>
      <c r="SUH4752" s="691"/>
      <c r="SUI4752" s="689"/>
      <c r="SUJ4752" s="691"/>
      <c r="SUK4752" s="689"/>
      <c r="SUL4752" s="691"/>
      <c r="SUM4752" s="689"/>
      <c r="SUN4752" s="691"/>
      <c r="SUO4752" s="689"/>
      <c r="SUP4752" s="691"/>
      <c r="SUQ4752" s="689"/>
      <c r="SUR4752" s="691"/>
      <c r="SUS4752" s="689"/>
      <c r="SUT4752" s="691"/>
      <c r="SUU4752" s="689"/>
      <c r="SUV4752" s="691"/>
      <c r="SUW4752" s="689"/>
      <c r="SUX4752" s="691"/>
      <c r="SUY4752" s="689"/>
      <c r="SUZ4752" s="691"/>
      <c r="SVA4752" s="689"/>
      <c r="SVB4752" s="691"/>
      <c r="SVC4752" s="689"/>
      <c r="SVD4752" s="691"/>
      <c r="SVE4752" s="689"/>
      <c r="SVF4752" s="691"/>
      <c r="SVG4752" s="689"/>
      <c r="SVH4752" s="691"/>
      <c r="SVI4752" s="689"/>
      <c r="SVJ4752" s="691"/>
      <c r="SVK4752" s="689"/>
      <c r="SVL4752" s="691"/>
      <c r="SVM4752" s="689"/>
      <c r="SVN4752" s="691"/>
      <c r="SVO4752" s="689"/>
      <c r="SVP4752" s="691"/>
      <c r="SVQ4752" s="689"/>
      <c r="SVR4752" s="691"/>
      <c r="SVS4752" s="689"/>
      <c r="SVT4752" s="691"/>
      <c r="SVU4752" s="689"/>
      <c r="SVV4752" s="691"/>
      <c r="SVW4752" s="689"/>
      <c r="SVX4752" s="691"/>
      <c r="SVY4752" s="689"/>
      <c r="SVZ4752" s="691"/>
      <c r="SWA4752" s="689"/>
      <c r="SWB4752" s="691"/>
      <c r="SWC4752" s="689"/>
      <c r="SWD4752" s="691"/>
      <c r="SWE4752" s="689"/>
      <c r="SWF4752" s="691"/>
      <c r="SWG4752" s="689"/>
      <c r="SWH4752" s="691"/>
      <c r="SWI4752" s="689"/>
      <c r="SWJ4752" s="691"/>
      <c r="SWK4752" s="689"/>
      <c r="SWL4752" s="691"/>
      <c r="SWM4752" s="689"/>
      <c r="SWN4752" s="691"/>
      <c r="SWO4752" s="689"/>
      <c r="SWP4752" s="691"/>
      <c r="SWQ4752" s="689"/>
      <c r="SWR4752" s="691"/>
      <c r="SWS4752" s="689"/>
      <c r="SWT4752" s="691"/>
      <c r="SWU4752" s="689"/>
      <c r="SWV4752" s="691"/>
      <c r="SWW4752" s="689"/>
      <c r="SWX4752" s="691"/>
      <c r="SWY4752" s="689"/>
      <c r="SWZ4752" s="691"/>
      <c r="SXA4752" s="689"/>
      <c r="SXB4752" s="691"/>
      <c r="SXC4752" s="689"/>
      <c r="SXD4752" s="691"/>
      <c r="SXE4752" s="689"/>
      <c r="SXF4752" s="691"/>
      <c r="SXG4752" s="689"/>
      <c r="SXH4752" s="691"/>
      <c r="SXI4752" s="689"/>
      <c r="SXJ4752" s="691"/>
      <c r="SXK4752" s="689"/>
      <c r="SXL4752" s="691"/>
      <c r="SXM4752" s="689"/>
      <c r="SXN4752" s="691"/>
      <c r="SXO4752" s="689"/>
      <c r="SXP4752" s="691"/>
      <c r="SXQ4752" s="689"/>
      <c r="SXR4752" s="691"/>
      <c r="SXS4752" s="689"/>
      <c r="SXT4752" s="691"/>
      <c r="SXU4752" s="689"/>
      <c r="SXV4752" s="691"/>
      <c r="SXW4752" s="689"/>
      <c r="SXX4752" s="691"/>
      <c r="SXY4752" s="689"/>
      <c r="SXZ4752" s="691"/>
      <c r="SYA4752" s="689"/>
      <c r="SYB4752" s="691"/>
      <c r="SYC4752" s="689"/>
      <c r="SYD4752" s="691"/>
      <c r="SYE4752" s="689"/>
      <c r="SYF4752" s="691"/>
      <c r="SYG4752" s="689"/>
      <c r="SYH4752" s="691"/>
      <c r="SYI4752" s="689"/>
      <c r="SYJ4752" s="691"/>
      <c r="SYK4752" s="689"/>
      <c r="SYL4752" s="691"/>
      <c r="SYM4752" s="689"/>
      <c r="SYN4752" s="691"/>
      <c r="SYO4752" s="689"/>
      <c r="SYP4752" s="691"/>
      <c r="SYQ4752" s="689"/>
      <c r="SYR4752" s="691"/>
      <c r="SYS4752" s="689"/>
      <c r="SYT4752" s="691"/>
      <c r="SYU4752" s="689"/>
      <c r="SYV4752" s="691"/>
      <c r="SYW4752" s="689"/>
      <c r="SYX4752" s="691"/>
      <c r="SYY4752" s="689"/>
      <c r="SYZ4752" s="691"/>
      <c r="SZA4752" s="689"/>
      <c r="SZB4752" s="691"/>
      <c r="SZC4752" s="689"/>
      <c r="SZD4752" s="691"/>
      <c r="SZE4752" s="689"/>
      <c r="SZF4752" s="691"/>
      <c r="SZG4752" s="689"/>
      <c r="SZH4752" s="691"/>
      <c r="SZI4752" s="689"/>
      <c r="SZJ4752" s="691"/>
      <c r="SZK4752" s="689"/>
      <c r="SZL4752" s="691"/>
      <c r="SZM4752" s="689"/>
      <c r="SZN4752" s="691"/>
      <c r="SZO4752" s="689"/>
      <c r="SZP4752" s="691"/>
      <c r="SZQ4752" s="689"/>
      <c r="SZR4752" s="691"/>
      <c r="SZS4752" s="689"/>
      <c r="SZT4752" s="691"/>
      <c r="SZU4752" s="689"/>
      <c r="SZV4752" s="691"/>
      <c r="SZW4752" s="689"/>
      <c r="SZX4752" s="691"/>
      <c r="SZY4752" s="689"/>
      <c r="SZZ4752" s="691"/>
      <c r="TAA4752" s="689"/>
      <c r="TAB4752" s="691"/>
      <c r="TAC4752" s="689"/>
      <c r="TAD4752" s="691"/>
      <c r="TAE4752" s="689"/>
      <c r="TAF4752" s="691"/>
      <c r="TAG4752" s="689"/>
      <c r="TAH4752" s="691"/>
      <c r="TAI4752" s="689"/>
      <c r="TAJ4752" s="691"/>
      <c r="TAK4752" s="689"/>
      <c r="TAL4752" s="691"/>
      <c r="TAM4752" s="689"/>
      <c r="TAN4752" s="691"/>
      <c r="TAO4752" s="689"/>
      <c r="TAP4752" s="691"/>
      <c r="TAQ4752" s="689"/>
      <c r="TAR4752" s="691"/>
      <c r="TAS4752" s="689"/>
      <c r="TAT4752" s="691"/>
      <c r="TAU4752" s="689"/>
      <c r="TAV4752" s="691"/>
      <c r="TAW4752" s="689"/>
      <c r="TAX4752" s="691"/>
      <c r="TAY4752" s="689"/>
      <c r="TAZ4752" s="691"/>
      <c r="TBA4752" s="689"/>
      <c r="TBB4752" s="691"/>
      <c r="TBC4752" s="689"/>
      <c r="TBD4752" s="691"/>
      <c r="TBE4752" s="689"/>
      <c r="TBF4752" s="691"/>
      <c r="TBG4752" s="689"/>
      <c r="TBH4752" s="691"/>
      <c r="TBI4752" s="689"/>
      <c r="TBJ4752" s="691"/>
      <c r="TBK4752" s="689"/>
      <c r="TBL4752" s="691"/>
      <c r="TBM4752" s="689"/>
      <c r="TBN4752" s="691"/>
      <c r="TBO4752" s="689"/>
      <c r="TBP4752" s="691"/>
      <c r="TBQ4752" s="689"/>
      <c r="TBR4752" s="691"/>
      <c r="TBS4752" s="689"/>
      <c r="TBT4752" s="691"/>
      <c r="TBU4752" s="689"/>
      <c r="TBV4752" s="691"/>
      <c r="TBW4752" s="689"/>
      <c r="TBX4752" s="691"/>
      <c r="TBY4752" s="689"/>
      <c r="TBZ4752" s="691"/>
      <c r="TCA4752" s="689"/>
      <c r="TCB4752" s="691"/>
      <c r="TCC4752" s="689"/>
      <c r="TCD4752" s="691"/>
      <c r="TCE4752" s="689"/>
      <c r="TCF4752" s="691"/>
      <c r="TCG4752" s="689"/>
      <c r="TCH4752" s="691"/>
      <c r="TCI4752" s="689"/>
      <c r="TCJ4752" s="691"/>
      <c r="TCK4752" s="689"/>
      <c r="TCL4752" s="691"/>
      <c r="TCM4752" s="689"/>
      <c r="TCN4752" s="691"/>
      <c r="TCO4752" s="689"/>
      <c r="TCP4752" s="691"/>
      <c r="TCQ4752" s="689"/>
      <c r="TCR4752" s="691"/>
      <c r="TCS4752" s="689"/>
      <c r="TCT4752" s="691"/>
      <c r="TCU4752" s="689"/>
      <c r="TCV4752" s="691"/>
      <c r="TCW4752" s="689"/>
      <c r="TCX4752" s="691"/>
      <c r="TCY4752" s="689"/>
      <c r="TCZ4752" s="691"/>
      <c r="TDA4752" s="689"/>
      <c r="TDB4752" s="691"/>
      <c r="TDC4752" s="689"/>
      <c r="TDD4752" s="691"/>
      <c r="TDE4752" s="689"/>
      <c r="TDF4752" s="691"/>
      <c r="TDG4752" s="689"/>
      <c r="TDH4752" s="691"/>
      <c r="TDI4752" s="689"/>
      <c r="TDJ4752" s="691"/>
      <c r="TDK4752" s="689"/>
      <c r="TDL4752" s="691"/>
      <c r="TDM4752" s="689"/>
      <c r="TDN4752" s="691"/>
      <c r="TDO4752" s="689"/>
      <c r="TDP4752" s="691"/>
      <c r="TDQ4752" s="689"/>
      <c r="TDR4752" s="691"/>
      <c r="TDS4752" s="689"/>
      <c r="TDT4752" s="691"/>
      <c r="TDU4752" s="689"/>
      <c r="TDV4752" s="691"/>
      <c r="TDW4752" s="689"/>
      <c r="TDX4752" s="691"/>
      <c r="TDY4752" s="689"/>
      <c r="TDZ4752" s="691"/>
      <c r="TEA4752" s="689"/>
      <c r="TEB4752" s="691"/>
      <c r="TEC4752" s="689"/>
      <c r="TED4752" s="691"/>
      <c r="TEE4752" s="689"/>
      <c r="TEF4752" s="691"/>
      <c r="TEG4752" s="689"/>
      <c r="TEH4752" s="691"/>
      <c r="TEI4752" s="689"/>
      <c r="TEJ4752" s="691"/>
      <c r="TEK4752" s="689"/>
      <c r="TEL4752" s="691"/>
      <c r="TEM4752" s="689"/>
      <c r="TEN4752" s="691"/>
      <c r="TEO4752" s="689"/>
      <c r="TEP4752" s="691"/>
      <c r="TEQ4752" s="689"/>
      <c r="TER4752" s="691"/>
      <c r="TES4752" s="689"/>
      <c r="TET4752" s="691"/>
      <c r="TEU4752" s="689"/>
      <c r="TEV4752" s="691"/>
      <c r="TEW4752" s="689"/>
      <c r="TEX4752" s="691"/>
      <c r="TEY4752" s="689"/>
      <c r="TEZ4752" s="691"/>
      <c r="TFA4752" s="689"/>
      <c r="TFB4752" s="691"/>
      <c r="TFC4752" s="689"/>
      <c r="TFD4752" s="691"/>
      <c r="TFE4752" s="689"/>
      <c r="TFF4752" s="691"/>
      <c r="TFG4752" s="689"/>
      <c r="TFH4752" s="691"/>
      <c r="TFI4752" s="689"/>
      <c r="TFJ4752" s="691"/>
      <c r="TFK4752" s="689"/>
      <c r="TFL4752" s="691"/>
      <c r="TFM4752" s="689"/>
      <c r="TFN4752" s="691"/>
      <c r="TFO4752" s="689"/>
      <c r="TFP4752" s="691"/>
      <c r="TFQ4752" s="689"/>
      <c r="TFR4752" s="691"/>
      <c r="TFS4752" s="689"/>
      <c r="TFT4752" s="691"/>
      <c r="TFU4752" s="689"/>
      <c r="TFV4752" s="691"/>
      <c r="TFW4752" s="689"/>
      <c r="TFX4752" s="691"/>
      <c r="TFY4752" s="689"/>
      <c r="TFZ4752" s="691"/>
      <c r="TGA4752" s="689"/>
      <c r="TGB4752" s="691"/>
      <c r="TGC4752" s="689"/>
      <c r="TGD4752" s="691"/>
      <c r="TGE4752" s="689"/>
      <c r="TGF4752" s="691"/>
      <c r="TGG4752" s="689"/>
      <c r="TGH4752" s="691"/>
      <c r="TGI4752" s="689"/>
      <c r="TGJ4752" s="691"/>
      <c r="TGK4752" s="689"/>
      <c r="TGL4752" s="691"/>
      <c r="TGM4752" s="689"/>
      <c r="TGN4752" s="691"/>
      <c r="TGO4752" s="689"/>
      <c r="TGP4752" s="691"/>
      <c r="TGQ4752" s="689"/>
      <c r="TGR4752" s="691"/>
      <c r="TGS4752" s="689"/>
      <c r="TGT4752" s="691"/>
      <c r="TGU4752" s="689"/>
      <c r="TGV4752" s="691"/>
      <c r="TGW4752" s="689"/>
      <c r="TGX4752" s="691"/>
      <c r="TGY4752" s="689"/>
      <c r="TGZ4752" s="691"/>
      <c r="THA4752" s="689"/>
      <c r="THB4752" s="691"/>
      <c r="THC4752" s="689"/>
      <c r="THD4752" s="691"/>
      <c r="THE4752" s="689"/>
      <c r="THF4752" s="691"/>
      <c r="THG4752" s="689"/>
      <c r="THH4752" s="691"/>
      <c r="THI4752" s="689"/>
      <c r="THJ4752" s="691"/>
      <c r="THK4752" s="689"/>
      <c r="THL4752" s="691"/>
      <c r="THM4752" s="689"/>
      <c r="THN4752" s="691"/>
      <c r="THO4752" s="689"/>
      <c r="THP4752" s="691"/>
      <c r="THQ4752" s="689"/>
      <c r="THR4752" s="691"/>
      <c r="THS4752" s="689"/>
      <c r="THT4752" s="691"/>
      <c r="THU4752" s="689"/>
      <c r="THV4752" s="691"/>
      <c r="THW4752" s="689"/>
      <c r="THX4752" s="691"/>
      <c r="THY4752" s="689"/>
      <c r="THZ4752" s="691"/>
      <c r="TIA4752" s="689"/>
      <c r="TIB4752" s="691"/>
      <c r="TIC4752" s="689"/>
      <c r="TID4752" s="691"/>
      <c r="TIE4752" s="689"/>
      <c r="TIF4752" s="691"/>
      <c r="TIG4752" s="689"/>
      <c r="TIH4752" s="691"/>
      <c r="TII4752" s="689"/>
      <c r="TIJ4752" s="691"/>
      <c r="TIK4752" s="689"/>
      <c r="TIL4752" s="691"/>
      <c r="TIM4752" s="689"/>
      <c r="TIN4752" s="691"/>
      <c r="TIO4752" s="689"/>
      <c r="TIP4752" s="691"/>
      <c r="TIQ4752" s="689"/>
      <c r="TIR4752" s="691"/>
      <c r="TIS4752" s="689"/>
      <c r="TIT4752" s="691"/>
      <c r="TIU4752" s="689"/>
      <c r="TIV4752" s="691"/>
      <c r="TIW4752" s="689"/>
      <c r="TIX4752" s="691"/>
      <c r="TIY4752" s="689"/>
      <c r="TIZ4752" s="691"/>
      <c r="TJA4752" s="689"/>
      <c r="TJB4752" s="691"/>
      <c r="TJC4752" s="689"/>
      <c r="TJD4752" s="691"/>
      <c r="TJE4752" s="689"/>
      <c r="TJF4752" s="691"/>
      <c r="TJG4752" s="689"/>
      <c r="TJH4752" s="691"/>
      <c r="TJI4752" s="689"/>
      <c r="TJJ4752" s="691"/>
      <c r="TJK4752" s="689"/>
      <c r="TJL4752" s="691"/>
      <c r="TJM4752" s="689"/>
      <c r="TJN4752" s="691"/>
      <c r="TJO4752" s="689"/>
      <c r="TJP4752" s="691"/>
      <c r="TJQ4752" s="689"/>
      <c r="TJR4752" s="691"/>
      <c r="TJS4752" s="689"/>
      <c r="TJT4752" s="691"/>
      <c r="TJU4752" s="689"/>
      <c r="TJV4752" s="691"/>
      <c r="TJW4752" s="689"/>
      <c r="TJX4752" s="691"/>
      <c r="TJY4752" s="689"/>
      <c r="TJZ4752" s="691"/>
      <c r="TKA4752" s="689"/>
      <c r="TKB4752" s="691"/>
      <c r="TKC4752" s="689"/>
      <c r="TKD4752" s="691"/>
      <c r="TKE4752" s="689"/>
      <c r="TKF4752" s="691"/>
      <c r="TKG4752" s="689"/>
      <c r="TKH4752" s="691"/>
      <c r="TKI4752" s="689"/>
      <c r="TKJ4752" s="691"/>
      <c r="TKK4752" s="689"/>
      <c r="TKL4752" s="691"/>
      <c r="TKM4752" s="689"/>
      <c r="TKN4752" s="691"/>
      <c r="TKO4752" s="689"/>
      <c r="TKP4752" s="691"/>
      <c r="TKQ4752" s="689"/>
      <c r="TKR4752" s="691"/>
      <c r="TKS4752" s="689"/>
      <c r="TKT4752" s="691"/>
      <c r="TKU4752" s="689"/>
      <c r="TKV4752" s="691"/>
      <c r="TKW4752" s="689"/>
      <c r="TKX4752" s="691"/>
      <c r="TKY4752" s="689"/>
      <c r="TKZ4752" s="691"/>
      <c r="TLA4752" s="689"/>
      <c r="TLB4752" s="691"/>
      <c r="TLC4752" s="689"/>
      <c r="TLD4752" s="691"/>
      <c r="TLE4752" s="689"/>
      <c r="TLF4752" s="691"/>
      <c r="TLG4752" s="689"/>
      <c r="TLH4752" s="691"/>
      <c r="TLI4752" s="689"/>
      <c r="TLJ4752" s="691"/>
      <c r="TLK4752" s="689"/>
      <c r="TLL4752" s="691"/>
      <c r="TLM4752" s="689"/>
      <c r="TLN4752" s="691"/>
      <c r="TLO4752" s="689"/>
      <c r="TLP4752" s="691"/>
      <c r="TLQ4752" s="689"/>
      <c r="TLR4752" s="691"/>
      <c r="TLS4752" s="689"/>
      <c r="TLT4752" s="691"/>
      <c r="TLU4752" s="689"/>
      <c r="TLV4752" s="691"/>
      <c r="TLW4752" s="689"/>
      <c r="TLX4752" s="691"/>
      <c r="TLY4752" s="689"/>
      <c r="TLZ4752" s="691"/>
      <c r="TMA4752" s="689"/>
      <c r="TMB4752" s="691"/>
      <c r="TMC4752" s="689"/>
      <c r="TMD4752" s="691"/>
      <c r="TME4752" s="689"/>
      <c r="TMF4752" s="691"/>
      <c r="TMG4752" s="689"/>
      <c r="TMH4752" s="691"/>
      <c r="TMI4752" s="689"/>
      <c r="TMJ4752" s="691"/>
      <c r="TMK4752" s="689"/>
      <c r="TML4752" s="691"/>
      <c r="TMM4752" s="689"/>
      <c r="TMN4752" s="691"/>
      <c r="TMO4752" s="689"/>
      <c r="TMP4752" s="691"/>
      <c r="TMQ4752" s="689"/>
      <c r="TMR4752" s="691"/>
      <c r="TMS4752" s="689"/>
      <c r="TMT4752" s="691"/>
      <c r="TMU4752" s="689"/>
      <c r="TMV4752" s="691"/>
      <c r="TMW4752" s="689"/>
      <c r="TMX4752" s="691"/>
      <c r="TMY4752" s="689"/>
      <c r="TMZ4752" s="691"/>
      <c r="TNA4752" s="689"/>
      <c r="TNB4752" s="691"/>
      <c r="TNC4752" s="689"/>
      <c r="TND4752" s="691"/>
      <c r="TNE4752" s="689"/>
      <c r="TNF4752" s="691"/>
      <c r="TNG4752" s="689"/>
      <c r="TNH4752" s="691"/>
      <c r="TNI4752" s="689"/>
      <c r="TNJ4752" s="691"/>
      <c r="TNK4752" s="689"/>
      <c r="TNL4752" s="691"/>
      <c r="TNM4752" s="689"/>
      <c r="TNN4752" s="691"/>
      <c r="TNO4752" s="689"/>
      <c r="TNP4752" s="691"/>
      <c r="TNQ4752" s="689"/>
      <c r="TNR4752" s="691"/>
      <c r="TNS4752" s="689"/>
      <c r="TNT4752" s="691"/>
      <c r="TNU4752" s="689"/>
      <c r="TNV4752" s="691"/>
      <c r="TNW4752" s="689"/>
      <c r="TNX4752" s="691"/>
      <c r="TNY4752" s="689"/>
      <c r="TNZ4752" s="691"/>
      <c r="TOA4752" s="689"/>
      <c r="TOB4752" s="691"/>
      <c r="TOC4752" s="689"/>
      <c r="TOD4752" s="691"/>
      <c r="TOE4752" s="689"/>
      <c r="TOF4752" s="691"/>
      <c r="TOG4752" s="689"/>
      <c r="TOH4752" s="691"/>
      <c r="TOI4752" s="689"/>
      <c r="TOJ4752" s="691"/>
      <c r="TOK4752" s="689"/>
      <c r="TOL4752" s="691"/>
      <c r="TOM4752" s="689"/>
      <c r="TON4752" s="691"/>
      <c r="TOO4752" s="689"/>
      <c r="TOP4752" s="691"/>
      <c r="TOQ4752" s="689"/>
      <c r="TOR4752" s="691"/>
      <c r="TOS4752" s="689"/>
      <c r="TOT4752" s="691"/>
      <c r="TOU4752" s="689"/>
      <c r="TOV4752" s="691"/>
      <c r="TOW4752" s="689"/>
      <c r="TOX4752" s="691"/>
      <c r="TOY4752" s="689"/>
      <c r="TOZ4752" s="691"/>
      <c r="TPA4752" s="689"/>
      <c r="TPB4752" s="691"/>
      <c r="TPC4752" s="689"/>
      <c r="TPD4752" s="691"/>
      <c r="TPE4752" s="689"/>
      <c r="TPF4752" s="691"/>
      <c r="TPG4752" s="689"/>
      <c r="TPH4752" s="691"/>
      <c r="TPI4752" s="689"/>
      <c r="TPJ4752" s="691"/>
      <c r="TPK4752" s="689"/>
      <c r="TPL4752" s="691"/>
      <c r="TPM4752" s="689"/>
      <c r="TPN4752" s="691"/>
      <c r="TPO4752" s="689"/>
      <c r="TPP4752" s="691"/>
      <c r="TPQ4752" s="689"/>
      <c r="TPR4752" s="691"/>
      <c r="TPS4752" s="689"/>
      <c r="TPT4752" s="691"/>
      <c r="TPU4752" s="689"/>
      <c r="TPV4752" s="691"/>
      <c r="TPW4752" s="689"/>
      <c r="TPX4752" s="691"/>
      <c r="TPY4752" s="689"/>
      <c r="TPZ4752" s="691"/>
      <c r="TQA4752" s="689"/>
      <c r="TQB4752" s="691"/>
      <c r="TQC4752" s="689"/>
      <c r="TQD4752" s="691"/>
      <c r="TQE4752" s="689"/>
      <c r="TQF4752" s="691"/>
      <c r="TQG4752" s="689"/>
      <c r="TQH4752" s="691"/>
      <c r="TQI4752" s="689"/>
      <c r="TQJ4752" s="691"/>
      <c r="TQK4752" s="689"/>
      <c r="TQL4752" s="691"/>
      <c r="TQM4752" s="689"/>
      <c r="TQN4752" s="691"/>
      <c r="TQO4752" s="689"/>
      <c r="TQP4752" s="691"/>
      <c r="TQQ4752" s="689"/>
      <c r="TQR4752" s="691"/>
      <c r="TQS4752" s="689"/>
      <c r="TQT4752" s="691"/>
      <c r="TQU4752" s="689"/>
      <c r="TQV4752" s="691"/>
      <c r="TQW4752" s="689"/>
      <c r="TQX4752" s="691"/>
      <c r="TQY4752" s="689"/>
      <c r="TQZ4752" s="691"/>
      <c r="TRA4752" s="689"/>
      <c r="TRB4752" s="691"/>
      <c r="TRC4752" s="689"/>
      <c r="TRD4752" s="691"/>
      <c r="TRE4752" s="689"/>
      <c r="TRF4752" s="691"/>
      <c r="TRG4752" s="689"/>
      <c r="TRH4752" s="691"/>
      <c r="TRI4752" s="689"/>
      <c r="TRJ4752" s="691"/>
      <c r="TRK4752" s="689"/>
      <c r="TRL4752" s="691"/>
      <c r="TRM4752" s="689"/>
      <c r="TRN4752" s="691"/>
      <c r="TRO4752" s="689"/>
      <c r="TRP4752" s="691"/>
      <c r="TRQ4752" s="689"/>
      <c r="TRR4752" s="691"/>
      <c r="TRS4752" s="689"/>
      <c r="TRT4752" s="691"/>
      <c r="TRU4752" s="689"/>
      <c r="TRV4752" s="691"/>
      <c r="TRW4752" s="689"/>
      <c r="TRX4752" s="691"/>
      <c r="TRY4752" s="689"/>
      <c r="TRZ4752" s="691"/>
      <c r="TSA4752" s="689"/>
      <c r="TSB4752" s="691"/>
      <c r="TSC4752" s="689"/>
      <c r="TSD4752" s="691"/>
      <c r="TSE4752" s="689"/>
      <c r="TSF4752" s="691"/>
      <c r="TSG4752" s="689"/>
      <c r="TSH4752" s="691"/>
      <c r="TSI4752" s="689"/>
      <c r="TSJ4752" s="691"/>
      <c r="TSK4752" s="689"/>
      <c r="TSL4752" s="691"/>
      <c r="TSM4752" s="689"/>
      <c r="TSN4752" s="691"/>
      <c r="TSO4752" s="689"/>
      <c r="TSP4752" s="691"/>
      <c r="TSQ4752" s="689"/>
      <c r="TSR4752" s="691"/>
      <c r="TSS4752" s="689"/>
      <c r="TST4752" s="691"/>
      <c r="TSU4752" s="689"/>
      <c r="TSV4752" s="691"/>
      <c r="TSW4752" s="689"/>
      <c r="TSX4752" s="691"/>
      <c r="TSY4752" s="689"/>
      <c r="TSZ4752" s="691"/>
      <c r="TTA4752" s="689"/>
      <c r="TTB4752" s="691"/>
      <c r="TTC4752" s="689"/>
      <c r="TTD4752" s="691"/>
      <c r="TTE4752" s="689"/>
      <c r="TTF4752" s="691"/>
      <c r="TTG4752" s="689"/>
      <c r="TTH4752" s="691"/>
      <c r="TTI4752" s="689"/>
      <c r="TTJ4752" s="691"/>
      <c r="TTK4752" s="689"/>
      <c r="TTL4752" s="691"/>
      <c r="TTM4752" s="689"/>
      <c r="TTN4752" s="691"/>
      <c r="TTO4752" s="689"/>
      <c r="TTP4752" s="691"/>
      <c r="TTQ4752" s="689"/>
      <c r="TTR4752" s="691"/>
      <c r="TTS4752" s="689"/>
      <c r="TTT4752" s="691"/>
      <c r="TTU4752" s="689"/>
      <c r="TTV4752" s="691"/>
      <c r="TTW4752" s="689"/>
      <c r="TTX4752" s="691"/>
      <c r="TTY4752" s="689"/>
      <c r="TTZ4752" s="691"/>
      <c r="TUA4752" s="689"/>
      <c r="TUB4752" s="691"/>
      <c r="TUC4752" s="689"/>
      <c r="TUD4752" s="691"/>
      <c r="TUE4752" s="689"/>
      <c r="TUF4752" s="691"/>
      <c r="TUG4752" s="689"/>
      <c r="TUH4752" s="691"/>
      <c r="TUI4752" s="689"/>
      <c r="TUJ4752" s="691"/>
      <c r="TUK4752" s="689"/>
      <c r="TUL4752" s="691"/>
      <c r="TUM4752" s="689"/>
      <c r="TUN4752" s="691"/>
      <c r="TUO4752" s="689"/>
      <c r="TUP4752" s="691"/>
      <c r="TUQ4752" s="689"/>
      <c r="TUR4752" s="691"/>
      <c r="TUS4752" s="689"/>
      <c r="TUT4752" s="691"/>
      <c r="TUU4752" s="689"/>
      <c r="TUV4752" s="691"/>
      <c r="TUW4752" s="689"/>
      <c r="TUX4752" s="691"/>
      <c r="TUY4752" s="689"/>
      <c r="TUZ4752" s="691"/>
      <c r="TVA4752" s="689"/>
      <c r="TVB4752" s="691"/>
      <c r="TVC4752" s="689"/>
      <c r="TVD4752" s="691"/>
      <c r="TVE4752" s="689"/>
      <c r="TVF4752" s="691"/>
      <c r="TVG4752" s="689"/>
      <c r="TVH4752" s="691"/>
      <c r="TVI4752" s="689"/>
      <c r="TVJ4752" s="691"/>
      <c r="TVK4752" s="689"/>
      <c r="TVL4752" s="691"/>
      <c r="TVM4752" s="689"/>
      <c r="TVN4752" s="691"/>
      <c r="TVO4752" s="689"/>
      <c r="TVP4752" s="691"/>
      <c r="TVQ4752" s="689"/>
      <c r="TVR4752" s="691"/>
      <c r="TVS4752" s="689"/>
      <c r="TVT4752" s="691"/>
      <c r="TVU4752" s="689"/>
      <c r="TVV4752" s="691"/>
      <c r="TVW4752" s="689"/>
      <c r="TVX4752" s="691"/>
      <c r="TVY4752" s="689"/>
      <c r="TVZ4752" s="691"/>
      <c r="TWA4752" s="689"/>
      <c r="TWB4752" s="691"/>
      <c r="TWC4752" s="689"/>
      <c r="TWD4752" s="691"/>
      <c r="TWE4752" s="689"/>
      <c r="TWF4752" s="691"/>
      <c r="TWG4752" s="689"/>
      <c r="TWH4752" s="691"/>
      <c r="TWI4752" s="689"/>
      <c r="TWJ4752" s="691"/>
      <c r="TWK4752" s="689"/>
      <c r="TWL4752" s="691"/>
      <c r="TWM4752" s="689"/>
      <c r="TWN4752" s="691"/>
      <c r="TWO4752" s="689"/>
      <c r="TWP4752" s="691"/>
      <c r="TWQ4752" s="689"/>
      <c r="TWR4752" s="691"/>
      <c r="TWS4752" s="689"/>
      <c r="TWT4752" s="691"/>
      <c r="TWU4752" s="689"/>
      <c r="TWV4752" s="691"/>
      <c r="TWW4752" s="689"/>
      <c r="TWX4752" s="691"/>
      <c r="TWY4752" s="689"/>
      <c r="TWZ4752" s="691"/>
      <c r="TXA4752" s="689"/>
      <c r="TXB4752" s="691"/>
      <c r="TXC4752" s="689"/>
      <c r="TXD4752" s="691"/>
      <c r="TXE4752" s="689"/>
      <c r="TXF4752" s="691"/>
      <c r="TXG4752" s="689"/>
      <c r="TXH4752" s="691"/>
      <c r="TXI4752" s="689"/>
      <c r="TXJ4752" s="691"/>
      <c r="TXK4752" s="689"/>
      <c r="TXL4752" s="691"/>
      <c r="TXM4752" s="689"/>
      <c r="TXN4752" s="691"/>
      <c r="TXO4752" s="689"/>
      <c r="TXP4752" s="691"/>
      <c r="TXQ4752" s="689"/>
      <c r="TXR4752" s="691"/>
      <c r="TXS4752" s="689"/>
      <c r="TXT4752" s="691"/>
      <c r="TXU4752" s="689"/>
      <c r="TXV4752" s="691"/>
      <c r="TXW4752" s="689"/>
      <c r="TXX4752" s="691"/>
      <c r="TXY4752" s="689"/>
      <c r="TXZ4752" s="691"/>
      <c r="TYA4752" s="689"/>
      <c r="TYB4752" s="691"/>
      <c r="TYC4752" s="689"/>
      <c r="TYD4752" s="691"/>
      <c r="TYE4752" s="689"/>
      <c r="TYF4752" s="691"/>
      <c r="TYG4752" s="689"/>
      <c r="TYH4752" s="691"/>
      <c r="TYI4752" s="689"/>
      <c r="TYJ4752" s="691"/>
      <c r="TYK4752" s="689"/>
      <c r="TYL4752" s="691"/>
      <c r="TYM4752" s="689"/>
      <c r="TYN4752" s="691"/>
      <c r="TYO4752" s="689"/>
      <c r="TYP4752" s="691"/>
      <c r="TYQ4752" s="689"/>
      <c r="TYR4752" s="691"/>
      <c r="TYS4752" s="689"/>
      <c r="TYT4752" s="691"/>
      <c r="TYU4752" s="689"/>
      <c r="TYV4752" s="691"/>
      <c r="TYW4752" s="689"/>
      <c r="TYX4752" s="691"/>
      <c r="TYY4752" s="689"/>
      <c r="TYZ4752" s="691"/>
      <c r="TZA4752" s="689"/>
      <c r="TZB4752" s="691"/>
      <c r="TZC4752" s="689"/>
      <c r="TZD4752" s="691"/>
      <c r="TZE4752" s="689"/>
      <c r="TZF4752" s="691"/>
      <c r="TZG4752" s="689"/>
      <c r="TZH4752" s="691"/>
      <c r="TZI4752" s="689"/>
      <c r="TZJ4752" s="691"/>
      <c r="TZK4752" s="689"/>
      <c r="TZL4752" s="691"/>
      <c r="TZM4752" s="689"/>
      <c r="TZN4752" s="691"/>
      <c r="TZO4752" s="689"/>
      <c r="TZP4752" s="691"/>
      <c r="TZQ4752" s="689"/>
      <c r="TZR4752" s="691"/>
      <c r="TZS4752" s="689"/>
      <c r="TZT4752" s="691"/>
      <c r="TZU4752" s="689"/>
      <c r="TZV4752" s="691"/>
      <c r="TZW4752" s="689"/>
      <c r="TZX4752" s="691"/>
      <c r="TZY4752" s="689"/>
      <c r="TZZ4752" s="691"/>
      <c r="UAA4752" s="689"/>
      <c r="UAB4752" s="691"/>
      <c r="UAC4752" s="689"/>
      <c r="UAD4752" s="691"/>
      <c r="UAE4752" s="689"/>
      <c r="UAF4752" s="691"/>
      <c r="UAG4752" s="689"/>
      <c r="UAH4752" s="691"/>
      <c r="UAI4752" s="689"/>
      <c r="UAJ4752" s="691"/>
      <c r="UAK4752" s="689"/>
      <c r="UAL4752" s="691"/>
      <c r="UAM4752" s="689"/>
      <c r="UAN4752" s="691"/>
      <c r="UAO4752" s="689"/>
      <c r="UAP4752" s="691"/>
      <c r="UAQ4752" s="689"/>
      <c r="UAR4752" s="691"/>
      <c r="UAS4752" s="689"/>
      <c r="UAT4752" s="691"/>
      <c r="UAU4752" s="689"/>
      <c r="UAV4752" s="691"/>
      <c r="UAW4752" s="689"/>
      <c r="UAX4752" s="691"/>
      <c r="UAY4752" s="689"/>
      <c r="UAZ4752" s="691"/>
      <c r="UBA4752" s="689"/>
      <c r="UBB4752" s="691"/>
      <c r="UBC4752" s="689"/>
      <c r="UBD4752" s="691"/>
      <c r="UBE4752" s="689"/>
      <c r="UBF4752" s="691"/>
      <c r="UBG4752" s="689"/>
      <c r="UBH4752" s="691"/>
      <c r="UBI4752" s="689"/>
      <c r="UBJ4752" s="691"/>
      <c r="UBK4752" s="689"/>
      <c r="UBL4752" s="691"/>
      <c r="UBM4752" s="689"/>
      <c r="UBN4752" s="691"/>
      <c r="UBO4752" s="689"/>
      <c r="UBP4752" s="691"/>
      <c r="UBQ4752" s="689"/>
      <c r="UBR4752" s="691"/>
      <c r="UBS4752" s="689"/>
      <c r="UBT4752" s="691"/>
      <c r="UBU4752" s="689"/>
      <c r="UBV4752" s="691"/>
      <c r="UBW4752" s="689"/>
      <c r="UBX4752" s="691"/>
      <c r="UBY4752" s="689"/>
      <c r="UBZ4752" s="691"/>
      <c r="UCA4752" s="689"/>
      <c r="UCB4752" s="691"/>
      <c r="UCC4752" s="689"/>
      <c r="UCD4752" s="691"/>
      <c r="UCE4752" s="689"/>
      <c r="UCF4752" s="691"/>
      <c r="UCG4752" s="689"/>
      <c r="UCH4752" s="691"/>
      <c r="UCI4752" s="689"/>
      <c r="UCJ4752" s="691"/>
      <c r="UCK4752" s="689"/>
      <c r="UCL4752" s="691"/>
      <c r="UCM4752" s="689"/>
      <c r="UCN4752" s="691"/>
      <c r="UCO4752" s="689"/>
      <c r="UCP4752" s="691"/>
      <c r="UCQ4752" s="689"/>
      <c r="UCR4752" s="691"/>
      <c r="UCS4752" s="689"/>
      <c r="UCT4752" s="691"/>
      <c r="UCU4752" s="689"/>
      <c r="UCV4752" s="691"/>
      <c r="UCW4752" s="689"/>
      <c r="UCX4752" s="691"/>
      <c r="UCY4752" s="689"/>
      <c r="UCZ4752" s="691"/>
      <c r="UDA4752" s="689"/>
      <c r="UDB4752" s="691"/>
      <c r="UDC4752" s="689"/>
      <c r="UDD4752" s="691"/>
      <c r="UDE4752" s="689"/>
      <c r="UDF4752" s="691"/>
      <c r="UDG4752" s="689"/>
      <c r="UDH4752" s="691"/>
      <c r="UDI4752" s="689"/>
      <c r="UDJ4752" s="691"/>
      <c r="UDK4752" s="689"/>
      <c r="UDL4752" s="691"/>
      <c r="UDM4752" s="689"/>
      <c r="UDN4752" s="691"/>
      <c r="UDO4752" s="689"/>
      <c r="UDP4752" s="691"/>
      <c r="UDQ4752" s="689"/>
      <c r="UDR4752" s="691"/>
      <c r="UDS4752" s="689"/>
      <c r="UDT4752" s="691"/>
      <c r="UDU4752" s="689"/>
      <c r="UDV4752" s="691"/>
      <c r="UDW4752" s="689"/>
      <c r="UDX4752" s="691"/>
      <c r="UDY4752" s="689"/>
      <c r="UDZ4752" s="691"/>
      <c r="UEA4752" s="689"/>
      <c r="UEB4752" s="691"/>
      <c r="UEC4752" s="689"/>
      <c r="UED4752" s="691"/>
      <c r="UEE4752" s="689"/>
      <c r="UEF4752" s="691"/>
      <c r="UEG4752" s="689"/>
      <c r="UEH4752" s="691"/>
      <c r="UEI4752" s="689"/>
      <c r="UEJ4752" s="691"/>
      <c r="UEK4752" s="689"/>
      <c r="UEL4752" s="691"/>
      <c r="UEM4752" s="689"/>
      <c r="UEN4752" s="691"/>
      <c r="UEO4752" s="689"/>
      <c r="UEP4752" s="691"/>
      <c r="UEQ4752" s="689"/>
      <c r="UER4752" s="691"/>
      <c r="UES4752" s="689"/>
      <c r="UET4752" s="691"/>
      <c r="UEU4752" s="689"/>
      <c r="UEV4752" s="691"/>
      <c r="UEW4752" s="689"/>
      <c r="UEX4752" s="691"/>
      <c r="UEY4752" s="689"/>
      <c r="UEZ4752" s="691"/>
      <c r="UFA4752" s="689"/>
      <c r="UFB4752" s="691"/>
      <c r="UFC4752" s="689"/>
      <c r="UFD4752" s="691"/>
      <c r="UFE4752" s="689"/>
      <c r="UFF4752" s="691"/>
      <c r="UFG4752" s="689"/>
      <c r="UFH4752" s="691"/>
      <c r="UFI4752" s="689"/>
      <c r="UFJ4752" s="691"/>
      <c r="UFK4752" s="689"/>
      <c r="UFL4752" s="691"/>
      <c r="UFM4752" s="689"/>
      <c r="UFN4752" s="691"/>
      <c r="UFO4752" s="689"/>
      <c r="UFP4752" s="691"/>
      <c r="UFQ4752" s="689"/>
      <c r="UFR4752" s="691"/>
      <c r="UFS4752" s="689"/>
      <c r="UFT4752" s="691"/>
      <c r="UFU4752" s="689"/>
      <c r="UFV4752" s="691"/>
      <c r="UFW4752" s="689"/>
      <c r="UFX4752" s="691"/>
      <c r="UFY4752" s="689"/>
      <c r="UFZ4752" s="691"/>
      <c r="UGA4752" s="689"/>
      <c r="UGB4752" s="691"/>
      <c r="UGC4752" s="689"/>
      <c r="UGD4752" s="691"/>
      <c r="UGE4752" s="689"/>
      <c r="UGF4752" s="691"/>
      <c r="UGG4752" s="689"/>
      <c r="UGH4752" s="691"/>
      <c r="UGI4752" s="689"/>
      <c r="UGJ4752" s="691"/>
      <c r="UGK4752" s="689"/>
      <c r="UGL4752" s="691"/>
      <c r="UGM4752" s="689"/>
      <c r="UGN4752" s="691"/>
      <c r="UGO4752" s="689"/>
      <c r="UGP4752" s="691"/>
      <c r="UGQ4752" s="689"/>
      <c r="UGR4752" s="691"/>
      <c r="UGS4752" s="689"/>
      <c r="UGT4752" s="691"/>
      <c r="UGU4752" s="689"/>
      <c r="UGV4752" s="691"/>
      <c r="UGW4752" s="689"/>
      <c r="UGX4752" s="691"/>
      <c r="UGY4752" s="689"/>
      <c r="UGZ4752" s="691"/>
      <c r="UHA4752" s="689"/>
      <c r="UHB4752" s="691"/>
      <c r="UHC4752" s="689"/>
      <c r="UHD4752" s="691"/>
      <c r="UHE4752" s="689"/>
      <c r="UHF4752" s="691"/>
      <c r="UHG4752" s="689"/>
      <c r="UHH4752" s="691"/>
      <c r="UHI4752" s="689"/>
      <c r="UHJ4752" s="691"/>
      <c r="UHK4752" s="689"/>
      <c r="UHL4752" s="691"/>
      <c r="UHM4752" s="689"/>
      <c r="UHN4752" s="691"/>
      <c r="UHO4752" s="689"/>
      <c r="UHP4752" s="691"/>
      <c r="UHQ4752" s="689"/>
      <c r="UHR4752" s="691"/>
      <c r="UHS4752" s="689"/>
      <c r="UHT4752" s="691"/>
      <c r="UHU4752" s="689"/>
      <c r="UHV4752" s="691"/>
      <c r="UHW4752" s="689"/>
      <c r="UHX4752" s="691"/>
      <c r="UHY4752" s="689"/>
      <c r="UHZ4752" s="691"/>
      <c r="UIA4752" s="689"/>
      <c r="UIB4752" s="691"/>
      <c r="UIC4752" s="689"/>
      <c r="UID4752" s="691"/>
      <c r="UIE4752" s="689"/>
      <c r="UIF4752" s="691"/>
      <c r="UIG4752" s="689"/>
      <c r="UIH4752" s="691"/>
      <c r="UII4752" s="689"/>
      <c r="UIJ4752" s="691"/>
      <c r="UIK4752" s="689"/>
      <c r="UIL4752" s="691"/>
      <c r="UIM4752" s="689"/>
      <c r="UIN4752" s="691"/>
      <c r="UIO4752" s="689"/>
      <c r="UIP4752" s="691"/>
      <c r="UIQ4752" s="689"/>
      <c r="UIR4752" s="691"/>
      <c r="UIS4752" s="689"/>
      <c r="UIT4752" s="691"/>
      <c r="UIU4752" s="689"/>
      <c r="UIV4752" s="691"/>
      <c r="UIW4752" s="689"/>
      <c r="UIX4752" s="691"/>
      <c r="UIY4752" s="689"/>
      <c r="UIZ4752" s="691"/>
      <c r="UJA4752" s="689"/>
      <c r="UJB4752" s="691"/>
      <c r="UJC4752" s="689"/>
      <c r="UJD4752" s="691"/>
      <c r="UJE4752" s="689"/>
      <c r="UJF4752" s="691"/>
      <c r="UJG4752" s="689"/>
      <c r="UJH4752" s="691"/>
      <c r="UJI4752" s="689"/>
      <c r="UJJ4752" s="691"/>
      <c r="UJK4752" s="689"/>
      <c r="UJL4752" s="691"/>
      <c r="UJM4752" s="689"/>
      <c r="UJN4752" s="691"/>
      <c r="UJO4752" s="689"/>
      <c r="UJP4752" s="691"/>
      <c r="UJQ4752" s="689"/>
      <c r="UJR4752" s="691"/>
      <c r="UJS4752" s="689"/>
      <c r="UJT4752" s="691"/>
      <c r="UJU4752" s="689"/>
      <c r="UJV4752" s="691"/>
      <c r="UJW4752" s="689"/>
      <c r="UJX4752" s="691"/>
      <c r="UJY4752" s="689"/>
      <c r="UJZ4752" s="691"/>
      <c r="UKA4752" s="689"/>
      <c r="UKB4752" s="691"/>
      <c r="UKC4752" s="689"/>
      <c r="UKD4752" s="691"/>
      <c r="UKE4752" s="689"/>
      <c r="UKF4752" s="691"/>
      <c r="UKG4752" s="689"/>
      <c r="UKH4752" s="691"/>
      <c r="UKI4752" s="689"/>
      <c r="UKJ4752" s="691"/>
      <c r="UKK4752" s="689"/>
      <c r="UKL4752" s="691"/>
      <c r="UKM4752" s="689"/>
      <c r="UKN4752" s="691"/>
      <c r="UKO4752" s="689"/>
      <c r="UKP4752" s="691"/>
      <c r="UKQ4752" s="689"/>
      <c r="UKR4752" s="691"/>
      <c r="UKS4752" s="689"/>
      <c r="UKT4752" s="691"/>
      <c r="UKU4752" s="689"/>
      <c r="UKV4752" s="691"/>
      <c r="UKW4752" s="689"/>
      <c r="UKX4752" s="691"/>
      <c r="UKY4752" s="689"/>
      <c r="UKZ4752" s="691"/>
      <c r="ULA4752" s="689"/>
      <c r="ULB4752" s="691"/>
      <c r="ULC4752" s="689"/>
      <c r="ULD4752" s="691"/>
      <c r="ULE4752" s="689"/>
      <c r="ULF4752" s="691"/>
      <c r="ULG4752" s="689"/>
      <c r="ULH4752" s="691"/>
      <c r="ULI4752" s="689"/>
      <c r="ULJ4752" s="691"/>
      <c r="ULK4752" s="689"/>
      <c r="ULL4752" s="691"/>
      <c r="ULM4752" s="689"/>
      <c r="ULN4752" s="691"/>
      <c r="ULO4752" s="689"/>
      <c r="ULP4752" s="691"/>
      <c r="ULQ4752" s="689"/>
      <c r="ULR4752" s="691"/>
      <c r="ULS4752" s="689"/>
      <c r="ULT4752" s="691"/>
      <c r="ULU4752" s="689"/>
      <c r="ULV4752" s="691"/>
      <c r="ULW4752" s="689"/>
      <c r="ULX4752" s="691"/>
      <c r="ULY4752" s="689"/>
      <c r="ULZ4752" s="691"/>
      <c r="UMA4752" s="689"/>
      <c r="UMB4752" s="691"/>
      <c r="UMC4752" s="689"/>
      <c r="UMD4752" s="691"/>
      <c r="UME4752" s="689"/>
      <c r="UMF4752" s="691"/>
      <c r="UMG4752" s="689"/>
      <c r="UMH4752" s="691"/>
      <c r="UMI4752" s="689"/>
      <c r="UMJ4752" s="691"/>
      <c r="UMK4752" s="689"/>
      <c r="UML4752" s="691"/>
      <c r="UMM4752" s="689"/>
      <c r="UMN4752" s="691"/>
      <c r="UMO4752" s="689"/>
      <c r="UMP4752" s="691"/>
      <c r="UMQ4752" s="689"/>
      <c r="UMR4752" s="691"/>
      <c r="UMS4752" s="689"/>
      <c r="UMT4752" s="691"/>
      <c r="UMU4752" s="689"/>
      <c r="UMV4752" s="691"/>
      <c r="UMW4752" s="689"/>
      <c r="UMX4752" s="691"/>
      <c r="UMY4752" s="689"/>
      <c r="UMZ4752" s="691"/>
      <c r="UNA4752" s="689"/>
      <c r="UNB4752" s="691"/>
      <c r="UNC4752" s="689"/>
      <c r="UND4752" s="691"/>
      <c r="UNE4752" s="689"/>
      <c r="UNF4752" s="691"/>
      <c r="UNG4752" s="689"/>
      <c r="UNH4752" s="691"/>
      <c r="UNI4752" s="689"/>
      <c r="UNJ4752" s="691"/>
      <c r="UNK4752" s="689"/>
      <c r="UNL4752" s="691"/>
      <c r="UNM4752" s="689"/>
      <c r="UNN4752" s="691"/>
      <c r="UNO4752" s="689"/>
      <c r="UNP4752" s="691"/>
      <c r="UNQ4752" s="689"/>
      <c r="UNR4752" s="691"/>
      <c r="UNS4752" s="689"/>
      <c r="UNT4752" s="691"/>
      <c r="UNU4752" s="689"/>
      <c r="UNV4752" s="691"/>
      <c r="UNW4752" s="689"/>
      <c r="UNX4752" s="691"/>
      <c r="UNY4752" s="689"/>
      <c r="UNZ4752" s="691"/>
      <c r="UOA4752" s="689"/>
      <c r="UOB4752" s="691"/>
      <c r="UOC4752" s="689"/>
      <c r="UOD4752" s="691"/>
      <c r="UOE4752" s="689"/>
      <c r="UOF4752" s="691"/>
      <c r="UOG4752" s="689"/>
      <c r="UOH4752" s="691"/>
      <c r="UOI4752" s="689"/>
      <c r="UOJ4752" s="691"/>
      <c r="UOK4752" s="689"/>
      <c r="UOL4752" s="691"/>
      <c r="UOM4752" s="689"/>
      <c r="UON4752" s="691"/>
      <c r="UOO4752" s="689"/>
      <c r="UOP4752" s="691"/>
      <c r="UOQ4752" s="689"/>
      <c r="UOR4752" s="691"/>
      <c r="UOS4752" s="689"/>
      <c r="UOT4752" s="691"/>
      <c r="UOU4752" s="689"/>
      <c r="UOV4752" s="691"/>
      <c r="UOW4752" s="689"/>
      <c r="UOX4752" s="691"/>
      <c r="UOY4752" s="689"/>
      <c r="UOZ4752" s="691"/>
      <c r="UPA4752" s="689"/>
      <c r="UPB4752" s="691"/>
      <c r="UPC4752" s="689"/>
      <c r="UPD4752" s="691"/>
      <c r="UPE4752" s="689"/>
      <c r="UPF4752" s="691"/>
      <c r="UPG4752" s="689"/>
      <c r="UPH4752" s="691"/>
      <c r="UPI4752" s="689"/>
      <c r="UPJ4752" s="691"/>
      <c r="UPK4752" s="689"/>
      <c r="UPL4752" s="691"/>
      <c r="UPM4752" s="689"/>
      <c r="UPN4752" s="691"/>
      <c r="UPO4752" s="689"/>
      <c r="UPP4752" s="691"/>
      <c r="UPQ4752" s="689"/>
      <c r="UPR4752" s="691"/>
      <c r="UPS4752" s="689"/>
      <c r="UPT4752" s="691"/>
      <c r="UPU4752" s="689"/>
      <c r="UPV4752" s="691"/>
      <c r="UPW4752" s="689"/>
      <c r="UPX4752" s="691"/>
      <c r="UPY4752" s="689"/>
      <c r="UPZ4752" s="691"/>
      <c r="UQA4752" s="689"/>
      <c r="UQB4752" s="691"/>
      <c r="UQC4752" s="689"/>
      <c r="UQD4752" s="691"/>
      <c r="UQE4752" s="689"/>
      <c r="UQF4752" s="691"/>
      <c r="UQG4752" s="689"/>
      <c r="UQH4752" s="691"/>
      <c r="UQI4752" s="689"/>
      <c r="UQJ4752" s="691"/>
      <c r="UQK4752" s="689"/>
      <c r="UQL4752" s="691"/>
      <c r="UQM4752" s="689"/>
      <c r="UQN4752" s="691"/>
      <c r="UQO4752" s="689"/>
      <c r="UQP4752" s="691"/>
      <c r="UQQ4752" s="689"/>
      <c r="UQR4752" s="691"/>
      <c r="UQS4752" s="689"/>
      <c r="UQT4752" s="691"/>
      <c r="UQU4752" s="689"/>
      <c r="UQV4752" s="691"/>
      <c r="UQW4752" s="689"/>
      <c r="UQX4752" s="691"/>
      <c r="UQY4752" s="689"/>
      <c r="UQZ4752" s="691"/>
      <c r="URA4752" s="689"/>
      <c r="URB4752" s="691"/>
      <c r="URC4752" s="689"/>
      <c r="URD4752" s="691"/>
      <c r="URE4752" s="689"/>
      <c r="URF4752" s="691"/>
      <c r="URG4752" s="689"/>
      <c r="URH4752" s="691"/>
      <c r="URI4752" s="689"/>
      <c r="URJ4752" s="691"/>
      <c r="URK4752" s="689"/>
      <c r="URL4752" s="691"/>
      <c r="URM4752" s="689"/>
      <c r="URN4752" s="691"/>
      <c r="URO4752" s="689"/>
      <c r="URP4752" s="691"/>
      <c r="URQ4752" s="689"/>
      <c r="URR4752" s="691"/>
      <c r="URS4752" s="689"/>
      <c r="URT4752" s="691"/>
      <c r="URU4752" s="689"/>
      <c r="URV4752" s="691"/>
      <c r="URW4752" s="689"/>
      <c r="URX4752" s="691"/>
      <c r="URY4752" s="689"/>
      <c r="URZ4752" s="691"/>
      <c r="USA4752" s="689"/>
      <c r="USB4752" s="691"/>
      <c r="USC4752" s="689"/>
      <c r="USD4752" s="691"/>
      <c r="USE4752" s="689"/>
      <c r="USF4752" s="691"/>
      <c r="USG4752" s="689"/>
      <c r="USH4752" s="691"/>
      <c r="USI4752" s="689"/>
      <c r="USJ4752" s="691"/>
      <c r="USK4752" s="689"/>
      <c r="USL4752" s="691"/>
      <c r="USM4752" s="689"/>
      <c r="USN4752" s="691"/>
      <c r="USO4752" s="689"/>
      <c r="USP4752" s="691"/>
      <c r="USQ4752" s="689"/>
      <c r="USR4752" s="691"/>
      <c r="USS4752" s="689"/>
      <c r="UST4752" s="691"/>
      <c r="USU4752" s="689"/>
      <c r="USV4752" s="691"/>
      <c r="USW4752" s="689"/>
      <c r="USX4752" s="691"/>
      <c r="USY4752" s="689"/>
      <c r="USZ4752" s="691"/>
      <c r="UTA4752" s="689"/>
      <c r="UTB4752" s="691"/>
      <c r="UTC4752" s="689"/>
      <c r="UTD4752" s="691"/>
      <c r="UTE4752" s="689"/>
      <c r="UTF4752" s="691"/>
      <c r="UTG4752" s="689"/>
      <c r="UTH4752" s="691"/>
      <c r="UTI4752" s="689"/>
      <c r="UTJ4752" s="691"/>
      <c r="UTK4752" s="689"/>
      <c r="UTL4752" s="691"/>
      <c r="UTM4752" s="689"/>
      <c r="UTN4752" s="691"/>
      <c r="UTO4752" s="689"/>
      <c r="UTP4752" s="691"/>
      <c r="UTQ4752" s="689"/>
      <c r="UTR4752" s="691"/>
      <c r="UTS4752" s="689"/>
      <c r="UTT4752" s="691"/>
      <c r="UTU4752" s="689"/>
      <c r="UTV4752" s="691"/>
      <c r="UTW4752" s="689"/>
      <c r="UTX4752" s="691"/>
      <c r="UTY4752" s="689"/>
      <c r="UTZ4752" s="691"/>
      <c r="UUA4752" s="689"/>
      <c r="UUB4752" s="691"/>
      <c r="UUC4752" s="689"/>
      <c r="UUD4752" s="691"/>
      <c r="UUE4752" s="689"/>
      <c r="UUF4752" s="691"/>
      <c r="UUG4752" s="689"/>
      <c r="UUH4752" s="691"/>
      <c r="UUI4752" s="689"/>
      <c r="UUJ4752" s="691"/>
      <c r="UUK4752" s="689"/>
      <c r="UUL4752" s="691"/>
      <c r="UUM4752" s="689"/>
      <c r="UUN4752" s="691"/>
      <c r="UUO4752" s="689"/>
      <c r="UUP4752" s="691"/>
      <c r="UUQ4752" s="689"/>
      <c r="UUR4752" s="691"/>
      <c r="UUS4752" s="689"/>
      <c r="UUT4752" s="691"/>
      <c r="UUU4752" s="689"/>
      <c r="UUV4752" s="691"/>
      <c r="UUW4752" s="689"/>
      <c r="UUX4752" s="691"/>
      <c r="UUY4752" s="689"/>
      <c r="UUZ4752" s="691"/>
      <c r="UVA4752" s="689"/>
      <c r="UVB4752" s="691"/>
      <c r="UVC4752" s="689"/>
      <c r="UVD4752" s="691"/>
      <c r="UVE4752" s="689"/>
      <c r="UVF4752" s="691"/>
      <c r="UVG4752" s="689"/>
      <c r="UVH4752" s="691"/>
      <c r="UVI4752" s="689"/>
      <c r="UVJ4752" s="691"/>
      <c r="UVK4752" s="689"/>
      <c r="UVL4752" s="691"/>
      <c r="UVM4752" s="689"/>
      <c r="UVN4752" s="691"/>
      <c r="UVO4752" s="689"/>
      <c r="UVP4752" s="691"/>
      <c r="UVQ4752" s="689"/>
      <c r="UVR4752" s="691"/>
      <c r="UVS4752" s="689"/>
      <c r="UVT4752" s="691"/>
      <c r="UVU4752" s="689"/>
      <c r="UVV4752" s="691"/>
      <c r="UVW4752" s="689"/>
      <c r="UVX4752" s="691"/>
      <c r="UVY4752" s="689"/>
      <c r="UVZ4752" s="691"/>
      <c r="UWA4752" s="689"/>
      <c r="UWB4752" s="691"/>
      <c r="UWC4752" s="689"/>
      <c r="UWD4752" s="691"/>
      <c r="UWE4752" s="689"/>
      <c r="UWF4752" s="691"/>
      <c r="UWG4752" s="689"/>
      <c r="UWH4752" s="691"/>
      <c r="UWI4752" s="689"/>
      <c r="UWJ4752" s="691"/>
      <c r="UWK4752" s="689"/>
      <c r="UWL4752" s="691"/>
      <c r="UWM4752" s="689"/>
      <c r="UWN4752" s="691"/>
      <c r="UWO4752" s="689"/>
      <c r="UWP4752" s="691"/>
      <c r="UWQ4752" s="689"/>
      <c r="UWR4752" s="691"/>
      <c r="UWS4752" s="689"/>
      <c r="UWT4752" s="691"/>
      <c r="UWU4752" s="689"/>
      <c r="UWV4752" s="691"/>
      <c r="UWW4752" s="689"/>
      <c r="UWX4752" s="691"/>
      <c r="UWY4752" s="689"/>
      <c r="UWZ4752" s="691"/>
      <c r="UXA4752" s="689"/>
      <c r="UXB4752" s="691"/>
      <c r="UXC4752" s="689"/>
      <c r="UXD4752" s="691"/>
      <c r="UXE4752" s="689"/>
      <c r="UXF4752" s="691"/>
      <c r="UXG4752" s="689"/>
      <c r="UXH4752" s="691"/>
      <c r="UXI4752" s="689"/>
      <c r="UXJ4752" s="691"/>
      <c r="UXK4752" s="689"/>
      <c r="UXL4752" s="691"/>
      <c r="UXM4752" s="689"/>
      <c r="UXN4752" s="691"/>
      <c r="UXO4752" s="689"/>
      <c r="UXP4752" s="691"/>
      <c r="UXQ4752" s="689"/>
      <c r="UXR4752" s="691"/>
      <c r="UXS4752" s="689"/>
      <c r="UXT4752" s="691"/>
      <c r="UXU4752" s="689"/>
      <c r="UXV4752" s="691"/>
      <c r="UXW4752" s="689"/>
      <c r="UXX4752" s="691"/>
      <c r="UXY4752" s="689"/>
      <c r="UXZ4752" s="691"/>
      <c r="UYA4752" s="689"/>
      <c r="UYB4752" s="691"/>
      <c r="UYC4752" s="689"/>
      <c r="UYD4752" s="691"/>
      <c r="UYE4752" s="689"/>
      <c r="UYF4752" s="691"/>
      <c r="UYG4752" s="689"/>
      <c r="UYH4752" s="691"/>
      <c r="UYI4752" s="689"/>
      <c r="UYJ4752" s="691"/>
      <c r="UYK4752" s="689"/>
      <c r="UYL4752" s="691"/>
      <c r="UYM4752" s="689"/>
      <c r="UYN4752" s="691"/>
      <c r="UYO4752" s="689"/>
      <c r="UYP4752" s="691"/>
      <c r="UYQ4752" s="689"/>
      <c r="UYR4752" s="691"/>
      <c r="UYS4752" s="689"/>
      <c r="UYT4752" s="691"/>
      <c r="UYU4752" s="689"/>
      <c r="UYV4752" s="691"/>
      <c r="UYW4752" s="689"/>
      <c r="UYX4752" s="691"/>
      <c r="UYY4752" s="689"/>
      <c r="UYZ4752" s="691"/>
      <c r="UZA4752" s="689"/>
      <c r="UZB4752" s="691"/>
      <c r="UZC4752" s="689"/>
      <c r="UZD4752" s="691"/>
      <c r="UZE4752" s="689"/>
      <c r="UZF4752" s="691"/>
      <c r="UZG4752" s="689"/>
      <c r="UZH4752" s="691"/>
      <c r="UZI4752" s="689"/>
      <c r="UZJ4752" s="691"/>
      <c r="UZK4752" s="689"/>
      <c r="UZL4752" s="691"/>
      <c r="UZM4752" s="689"/>
      <c r="UZN4752" s="691"/>
      <c r="UZO4752" s="689"/>
      <c r="UZP4752" s="691"/>
      <c r="UZQ4752" s="689"/>
      <c r="UZR4752" s="691"/>
      <c r="UZS4752" s="689"/>
      <c r="UZT4752" s="691"/>
      <c r="UZU4752" s="689"/>
      <c r="UZV4752" s="691"/>
      <c r="UZW4752" s="689"/>
      <c r="UZX4752" s="691"/>
      <c r="UZY4752" s="689"/>
      <c r="UZZ4752" s="691"/>
      <c r="VAA4752" s="689"/>
      <c r="VAB4752" s="691"/>
      <c r="VAC4752" s="689"/>
      <c r="VAD4752" s="691"/>
      <c r="VAE4752" s="689"/>
      <c r="VAF4752" s="691"/>
      <c r="VAG4752" s="689"/>
      <c r="VAH4752" s="691"/>
      <c r="VAI4752" s="689"/>
      <c r="VAJ4752" s="691"/>
      <c r="VAK4752" s="689"/>
      <c r="VAL4752" s="691"/>
      <c r="VAM4752" s="689"/>
      <c r="VAN4752" s="691"/>
      <c r="VAO4752" s="689"/>
      <c r="VAP4752" s="691"/>
      <c r="VAQ4752" s="689"/>
      <c r="VAR4752" s="691"/>
      <c r="VAS4752" s="689"/>
      <c r="VAT4752" s="691"/>
      <c r="VAU4752" s="689"/>
      <c r="VAV4752" s="691"/>
      <c r="VAW4752" s="689"/>
      <c r="VAX4752" s="691"/>
      <c r="VAY4752" s="689"/>
      <c r="VAZ4752" s="691"/>
      <c r="VBA4752" s="689"/>
      <c r="VBB4752" s="691"/>
      <c r="VBC4752" s="689"/>
      <c r="VBD4752" s="691"/>
      <c r="VBE4752" s="689"/>
      <c r="VBF4752" s="691"/>
      <c r="VBG4752" s="689"/>
      <c r="VBH4752" s="691"/>
      <c r="VBI4752" s="689"/>
      <c r="VBJ4752" s="691"/>
      <c r="VBK4752" s="689"/>
      <c r="VBL4752" s="691"/>
      <c r="VBM4752" s="689"/>
      <c r="VBN4752" s="691"/>
      <c r="VBO4752" s="689"/>
      <c r="VBP4752" s="691"/>
      <c r="VBQ4752" s="689"/>
      <c r="VBR4752" s="691"/>
      <c r="VBS4752" s="689"/>
      <c r="VBT4752" s="691"/>
      <c r="VBU4752" s="689"/>
      <c r="VBV4752" s="691"/>
      <c r="VBW4752" s="689"/>
      <c r="VBX4752" s="691"/>
      <c r="VBY4752" s="689"/>
      <c r="VBZ4752" s="691"/>
      <c r="VCA4752" s="689"/>
      <c r="VCB4752" s="691"/>
      <c r="VCC4752" s="689"/>
      <c r="VCD4752" s="691"/>
      <c r="VCE4752" s="689"/>
      <c r="VCF4752" s="691"/>
      <c r="VCG4752" s="689"/>
      <c r="VCH4752" s="691"/>
      <c r="VCI4752" s="689"/>
      <c r="VCJ4752" s="691"/>
      <c r="VCK4752" s="689"/>
      <c r="VCL4752" s="691"/>
      <c r="VCM4752" s="689"/>
      <c r="VCN4752" s="691"/>
      <c r="VCO4752" s="689"/>
      <c r="VCP4752" s="691"/>
      <c r="VCQ4752" s="689"/>
      <c r="VCR4752" s="691"/>
      <c r="VCS4752" s="689"/>
      <c r="VCT4752" s="691"/>
      <c r="VCU4752" s="689"/>
      <c r="VCV4752" s="691"/>
      <c r="VCW4752" s="689"/>
      <c r="VCX4752" s="691"/>
      <c r="VCY4752" s="689"/>
      <c r="VCZ4752" s="691"/>
      <c r="VDA4752" s="689"/>
      <c r="VDB4752" s="691"/>
      <c r="VDC4752" s="689"/>
      <c r="VDD4752" s="691"/>
      <c r="VDE4752" s="689"/>
      <c r="VDF4752" s="691"/>
      <c r="VDG4752" s="689"/>
      <c r="VDH4752" s="691"/>
      <c r="VDI4752" s="689"/>
      <c r="VDJ4752" s="691"/>
      <c r="VDK4752" s="689"/>
      <c r="VDL4752" s="691"/>
      <c r="VDM4752" s="689"/>
      <c r="VDN4752" s="691"/>
      <c r="VDO4752" s="689"/>
      <c r="VDP4752" s="691"/>
      <c r="VDQ4752" s="689"/>
      <c r="VDR4752" s="691"/>
      <c r="VDS4752" s="689"/>
      <c r="VDT4752" s="691"/>
      <c r="VDU4752" s="689"/>
      <c r="VDV4752" s="691"/>
      <c r="VDW4752" s="689"/>
      <c r="VDX4752" s="691"/>
      <c r="VDY4752" s="689"/>
      <c r="VDZ4752" s="691"/>
      <c r="VEA4752" s="689"/>
      <c r="VEB4752" s="691"/>
      <c r="VEC4752" s="689"/>
      <c r="VED4752" s="691"/>
      <c r="VEE4752" s="689"/>
      <c r="VEF4752" s="691"/>
      <c r="VEG4752" s="689"/>
      <c r="VEH4752" s="691"/>
      <c r="VEI4752" s="689"/>
      <c r="VEJ4752" s="691"/>
      <c r="VEK4752" s="689"/>
      <c r="VEL4752" s="691"/>
      <c r="VEM4752" s="689"/>
      <c r="VEN4752" s="691"/>
      <c r="VEO4752" s="689"/>
      <c r="VEP4752" s="691"/>
      <c r="VEQ4752" s="689"/>
      <c r="VER4752" s="691"/>
      <c r="VES4752" s="689"/>
      <c r="VET4752" s="691"/>
      <c r="VEU4752" s="689"/>
      <c r="VEV4752" s="691"/>
      <c r="VEW4752" s="689"/>
      <c r="VEX4752" s="691"/>
      <c r="VEY4752" s="689"/>
      <c r="VEZ4752" s="691"/>
      <c r="VFA4752" s="689"/>
      <c r="VFB4752" s="691"/>
      <c r="VFC4752" s="689"/>
      <c r="VFD4752" s="691"/>
      <c r="VFE4752" s="689"/>
      <c r="VFF4752" s="691"/>
      <c r="VFG4752" s="689"/>
      <c r="VFH4752" s="691"/>
      <c r="VFI4752" s="689"/>
      <c r="VFJ4752" s="691"/>
      <c r="VFK4752" s="689"/>
      <c r="VFL4752" s="691"/>
      <c r="VFM4752" s="689"/>
      <c r="VFN4752" s="691"/>
      <c r="VFO4752" s="689"/>
      <c r="VFP4752" s="691"/>
      <c r="VFQ4752" s="689"/>
      <c r="VFR4752" s="691"/>
      <c r="VFS4752" s="689"/>
      <c r="VFT4752" s="691"/>
      <c r="VFU4752" s="689"/>
      <c r="VFV4752" s="691"/>
      <c r="VFW4752" s="689"/>
      <c r="VFX4752" s="691"/>
      <c r="VFY4752" s="689"/>
      <c r="VFZ4752" s="691"/>
      <c r="VGA4752" s="689"/>
      <c r="VGB4752" s="691"/>
      <c r="VGC4752" s="689"/>
      <c r="VGD4752" s="691"/>
      <c r="VGE4752" s="689"/>
      <c r="VGF4752" s="691"/>
      <c r="VGG4752" s="689"/>
      <c r="VGH4752" s="691"/>
      <c r="VGI4752" s="689"/>
      <c r="VGJ4752" s="691"/>
      <c r="VGK4752" s="689"/>
      <c r="VGL4752" s="691"/>
      <c r="VGM4752" s="689"/>
      <c r="VGN4752" s="691"/>
      <c r="VGO4752" s="689"/>
      <c r="VGP4752" s="691"/>
      <c r="VGQ4752" s="689"/>
      <c r="VGR4752" s="691"/>
      <c r="VGS4752" s="689"/>
      <c r="VGT4752" s="691"/>
      <c r="VGU4752" s="689"/>
      <c r="VGV4752" s="691"/>
      <c r="VGW4752" s="689"/>
      <c r="VGX4752" s="691"/>
      <c r="VGY4752" s="689"/>
      <c r="VGZ4752" s="691"/>
      <c r="VHA4752" s="689"/>
      <c r="VHB4752" s="691"/>
      <c r="VHC4752" s="689"/>
      <c r="VHD4752" s="691"/>
      <c r="VHE4752" s="689"/>
      <c r="VHF4752" s="691"/>
      <c r="VHG4752" s="689"/>
      <c r="VHH4752" s="691"/>
      <c r="VHI4752" s="689"/>
      <c r="VHJ4752" s="691"/>
      <c r="VHK4752" s="689"/>
      <c r="VHL4752" s="691"/>
      <c r="VHM4752" s="689"/>
      <c r="VHN4752" s="691"/>
      <c r="VHO4752" s="689"/>
      <c r="VHP4752" s="691"/>
      <c r="VHQ4752" s="689"/>
      <c r="VHR4752" s="691"/>
      <c r="VHS4752" s="689"/>
      <c r="VHT4752" s="691"/>
      <c r="VHU4752" s="689"/>
      <c r="VHV4752" s="691"/>
      <c r="VHW4752" s="689"/>
      <c r="VHX4752" s="691"/>
      <c r="VHY4752" s="689"/>
      <c r="VHZ4752" s="691"/>
      <c r="VIA4752" s="689"/>
      <c r="VIB4752" s="691"/>
      <c r="VIC4752" s="689"/>
      <c r="VID4752" s="691"/>
      <c r="VIE4752" s="689"/>
      <c r="VIF4752" s="691"/>
      <c r="VIG4752" s="689"/>
      <c r="VIH4752" s="691"/>
      <c r="VII4752" s="689"/>
      <c r="VIJ4752" s="691"/>
      <c r="VIK4752" s="689"/>
      <c r="VIL4752" s="691"/>
      <c r="VIM4752" s="689"/>
      <c r="VIN4752" s="691"/>
      <c r="VIO4752" s="689"/>
      <c r="VIP4752" s="691"/>
      <c r="VIQ4752" s="689"/>
      <c r="VIR4752" s="691"/>
      <c r="VIS4752" s="689"/>
      <c r="VIT4752" s="691"/>
      <c r="VIU4752" s="689"/>
      <c r="VIV4752" s="691"/>
      <c r="VIW4752" s="689"/>
      <c r="VIX4752" s="691"/>
      <c r="VIY4752" s="689"/>
      <c r="VIZ4752" s="691"/>
      <c r="VJA4752" s="689"/>
      <c r="VJB4752" s="691"/>
      <c r="VJC4752" s="689"/>
      <c r="VJD4752" s="691"/>
      <c r="VJE4752" s="689"/>
      <c r="VJF4752" s="691"/>
      <c r="VJG4752" s="689"/>
      <c r="VJH4752" s="691"/>
      <c r="VJI4752" s="689"/>
      <c r="VJJ4752" s="691"/>
      <c r="VJK4752" s="689"/>
      <c r="VJL4752" s="691"/>
      <c r="VJM4752" s="689"/>
      <c r="VJN4752" s="691"/>
      <c r="VJO4752" s="689"/>
      <c r="VJP4752" s="691"/>
      <c r="VJQ4752" s="689"/>
      <c r="VJR4752" s="691"/>
      <c r="VJS4752" s="689"/>
      <c r="VJT4752" s="691"/>
      <c r="VJU4752" s="689"/>
      <c r="VJV4752" s="691"/>
      <c r="VJW4752" s="689"/>
      <c r="VJX4752" s="691"/>
      <c r="VJY4752" s="689"/>
      <c r="VJZ4752" s="691"/>
      <c r="VKA4752" s="689"/>
      <c r="VKB4752" s="691"/>
      <c r="VKC4752" s="689"/>
      <c r="VKD4752" s="691"/>
      <c r="VKE4752" s="689"/>
      <c r="VKF4752" s="691"/>
      <c r="VKG4752" s="689"/>
      <c r="VKH4752" s="691"/>
      <c r="VKI4752" s="689"/>
      <c r="VKJ4752" s="691"/>
      <c r="VKK4752" s="689"/>
      <c r="VKL4752" s="691"/>
      <c r="VKM4752" s="689"/>
      <c r="VKN4752" s="691"/>
      <c r="VKO4752" s="689"/>
      <c r="VKP4752" s="691"/>
      <c r="VKQ4752" s="689"/>
      <c r="VKR4752" s="691"/>
      <c r="VKS4752" s="689"/>
      <c r="VKT4752" s="691"/>
      <c r="VKU4752" s="689"/>
      <c r="VKV4752" s="691"/>
      <c r="VKW4752" s="689"/>
      <c r="VKX4752" s="691"/>
      <c r="VKY4752" s="689"/>
      <c r="VKZ4752" s="691"/>
      <c r="VLA4752" s="689"/>
      <c r="VLB4752" s="691"/>
      <c r="VLC4752" s="689"/>
      <c r="VLD4752" s="691"/>
      <c r="VLE4752" s="689"/>
      <c r="VLF4752" s="691"/>
      <c r="VLG4752" s="689"/>
      <c r="VLH4752" s="691"/>
      <c r="VLI4752" s="689"/>
      <c r="VLJ4752" s="691"/>
      <c r="VLK4752" s="689"/>
      <c r="VLL4752" s="691"/>
      <c r="VLM4752" s="689"/>
      <c r="VLN4752" s="691"/>
      <c r="VLO4752" s="689"/>
      <c r="VLP4752" s="691"/>
      <c r="VLQ4752" s="689"/>
      <c r="VLR4752" s="691"/>
      <c r="VLS4752" s="689"/>
      <c r="VLT4752" s="691"/>
      <c r="VLU4752" s="689"/>
      <c r="VLV4752" s="691"/>
      <c r="VLW4752" s="689"/>
      <c r="VLX4752" s="691"/>
      <c r="VLY4752" s="689"/>
      <c r="VLZ4752" s="691"/>
      <c r="VMA4752" s="689"/>
      <c r="VMB4752" s="691"/>
      <c r="VMC4752" s="689"/>
      <c r="VMD4752" s="691"/>
      <c r="VME4752" s="689"/>
      <c r="VMF4752" s="691"/>
      <c r="VMG4752" s="689"/>
      <c r="VMH4752" s="691"/>
      <c r="VMI4752" s="689"/>
      <c r="VMJ4752" s="691"/>
      <c r="VMK4752" s="689"/>
      <c r="VML4752" s="691"/>
      <c r="VMM4752" s="689"/>
      <c r="VMN4752" s="691"/>
      <c r="VMO4752" s="689"/>
      <c r="VMP4752" s="691"/>
      <c r="VMQ4752" s="689"/>
      <c r="VMR4752" s="691"/>
      <c r="VMS4752" s="689"/>
      <c r="VMT4752" s="691"/>
      <c r="VMU4752" s="689"/>
      <c r="VMV4752" s="691"/>
      <c r="VMW4752" s="689"/>
      <c r="VMX4752" s="691"/>
      <c r="VMY4752" s="689"/>
      <c r="VMZ4752" s="691"/>
      <c r="VNA4752" s="689"/>
      <c r="VNB4752" s="691"/>
      <c r="VNC4752" s="689"/>
      <c r="VND4752" s="691"/>
      <c r="VNE4752" s="689"/>
      <c r="VNF4752" s="691"/>
      <c r="VNG4752" s="689"/>
      <c r="VNH4752" s="691"/>
      <c r="VNI4752" s="689"/>
      <c r="VNJ4752" s="691"/>
      <c r="VNK4752" s="689"/>
      <c r="VNL4752" s="691"/>
      <c r="VNM4752" s="689"/>
      <c r="VNN4752" s="691"/>
      <c r="VNO4752" s="689"/>
      <c r="VNP4752" s="691"/>
      <c r="VNQ4752" s="689"/>
      <c r="VNR4752" s="691"/>
      <c r="VNS4752" s="689"/>
      <c r="VNT4752" s="691"/>
      <c r="VNU4752" s="689"/>
      <c r="VNV4752" s="691"/>
      <c r="VNW4752" s="689"/>
      <c r="VNX4752" s="691"/>
      <c r="VNY4752" s="689"/>
      <c r="VNZ4752" s="691"/>
      <c r="VOA4752" s="689"/>
      <c r="VOB4752" s="691"/>
      <c r="VOC4752" s="689"/>
      <c r="VOD4752" s="691"/>
      <c r="VOE4752" s="689"/>
      <c r="VOF4752" s="691"/>
      <c r="VOG4752" s="689"/>
      <c r="VOH4752" s="691"/>
      <c r="VOI4752" s="689"/>
      <c r="VOJ4752" s="691"/>
      <c r="VOK4752" s="689"/>
      <c r="VOL4752" s="691"/>
      <c r="VOM4752" s="689"/>
      <c r="VON4752" s="691"/>
      <c r="VOO4752" s="689"/>
      <c r="VOP4752" s="691"/>
      <c r="VOQ4752" s="689"/>
      <c r="VOR4752" s="691"/>
      <c r="VOS4752" s="689"/>
      <c r="VOT4752" s="691"/>
      <c r="VOU4752" s="689"/>
      <c r="VOV4752" s="691"/>
      <c r="VOW4752" s="689"/>
      <c r="VOX4752" s="691"/>
      <c r="VOY4752" s="689"/>
      <c r="VOZ4752" s="691"/>
      <c r="VPA4752" s="689"/>
      <c r="VPB4752" s="691"/>
      <c r="VPC4752" s="689"/>
      <c r="VPD4752" s="691"/>
      <c r="VPE4752" s="689"/>
      <c r="VPF4752" s="691"/>
      <c r="VPG4752" s="689"/>
      <c r="VPH4752" s="691"/>
      <c r="VPI4752" s="689"/>
      <c r="VPJ4752" s="691"/>
      <c r="VPK4752" s="689"/>
      <c r="VPL4752" s="691"/>
      <c r="VPM4752" s="689"/>
      <c r="VPN4752" s="691"/>
      <c r="VPO4752" s="689"/>
      <c r="VPP4752" s="691"/>
      <c r="VPQ4752" s="689"/>
      <c r="VPR4752" s="691"/>
      <c r="VPS4752" s="689"/>
      <c r="VPT4752" s="691"/>
      <c r="VPU4752" s="689"/>
      <c r="VPV4752" s="691"/>
      <c r="VPW4752" s="689"/>
      <c r="VPX4752" s="691"/>
      <c r="VPY4752" s="689"/>
      <c r="VPZ4752" s="691"/>
      <c r="VQA4752" s="689"/>
      <c r="VQB4752" s="691"/>
      <c r="VQC4752" s="689"/>
      <c r="VQD4752" s="691"/>
      <c r="VQE4752" s="689"/>
      <c r="VQF4752" s="691"/>
      <c r="VQG4752" s="689"/>
      <c r="VQH4752" s="691"/>
      <c r="VQI4752" s="689"/>
      <c r="VQJ4752" s="691"/>
      <c r="VQK4752" s="689"/>
      <c r="VQL4752" s="691"/>
      <c r="VQM4752" s="689"/>
      <c r="VQN4752" s="691"/>
      <c r="VQO4752" s="689"/>
      <c r="VQP4752" s="691"/>
      <c r="VQQ4752" s="689"/>
      <c r="VQR4752" s="691"/>
      <c r="VQS4752" s="689"/>
      <c r="VQT4752" s="691"/>
      <c r="VQU4752" s="689"/>
      <c r="VQV4752" s="691"/>
      <c r="VQW4752" s="689"/>
      <c r="VQX4752" s="691"/>
      <c r="VQY4752" s="689"/>
      <c r="VQZ4752" s="691"/>
      <c r="VRA4752" s="689"/>
      <c r="VRB4752" s="691"/>
      <c r="VRC4752" s="689"/>
      <c r="VRD4752" s="691"/>
      <c r="VRE4752" s="689"/>
      <c r="VRF4752" s="691"/>
      <c r="VRG4752" s="689"/>
      <c r="VRH4752" s="691"/>
      <c r="VRI4752" s="689"/>
      <c r="VRJ4752" s="691"/>
      <c r="VRK4752" s="689"/>
      <c r="VRL4752" s="691"/>
      <c r="VRM4752" s="689"/>
      <c r="VRN4752" s="691"/>
      <c r="VRO4752" s="689"/>
      <c r="VRP4752" s="691"/>
      <c r="VRQ4752" s="689"/>
      <c r="VRR4752" s="691"/>
      <c r="VRS4752" s="689"/>
      <c r="VRT4752" s="691"/>
      <c r="VRU4752" s="689"/>
      <c r="VRV4752" s="691"/>
      <c r="VRW4752" s="689"/>
      <c r="VRX4752" s="691"/>
      <c r="VRY4752" s="689"/>
      <c r="VRZ4752" s="691"/>
      <c r="VSA4752" s="689"/>
      <c r="VSB4752" s="691"/>
      <c r="VSC4752" s="689"/>
      <c r="VSD4752" s="691"/>
      <c r="VSE4752" s="689"/>
      <c r="VSF4752" s="691"/>
      <c r="VSG4752" s="689"/>
      <c r="VSH4752" s="691"/>
      <c r="VSI4752" s="689"/>
      <c r="VSJ4752" s="691"/>
      <c r="VSK4752" s="689"/>
      <c r="VSL4752" s="691"/>
      <c r="VSM4752" s="689"/>
      <c r="VSN4752" s="691"/>
      <c r="VSO4752" s="689"/>
      <c r="VSP4752" s="691"/>
      <c r="VSQ4752" s="689"/>
      <c r="VSR4752" s="691"/>
      <c r="VSS4752" s="689"/>
      <c r="VST4752" s="691"/>
      <c r="VSU4752" s="689"/>
      <c r="VSV4752" s="691"/>
      <c r="VSW4752" s="689"/>
      <c r="VSX4752" s="691"/>
      <c r="VSY4752" s="689"/>
      <c r="VSZ4752" s="691"/>
      <c r="VTA4752" s="689"/>
      <c r="VTB4752" s="691"/>
      <c r="VTC4752" s="689"/>
      <c r="VTD4752" s="691"/>
      <c r="VTE4752" s="689"/>
      <c r="VTF4752" s="691"/>
      <c r="VTG4752" s="689"/>
      <c r="VTH4752" s="691"/>
      <c r="VTI4752" s="689"/>
      <c r="VTJ4752" s="691"/>
      <c r="VTK4752" s="689"/>
      <c r="VTL4752" s="691"/>
      <c r="VTM4752" s="689"/>
      <c r="VTN4752" s="691"/>
      <c r="VTO4752" s="689"/>
      <c r="VTP4752" s="691"/>
      <c r="VTQ4752" s="689"/>
      <c r="VTR4752" s="691"/>
      <c r="VTS4752" s="689"/>
      <c r="VTT4752" s="691"/>
      <c r="VTU4752" s="689"/>
    </row>
    <row r="4753" spans="1:8" s="289" customFormat="1" ht="30" outlineLevel="2">
      <c r="A4753" s="382"/>
      <c r="B4753" s="382"/>
      <c r="C4753" s="386">
        <v>2220100</v>
      </c>
      <c r="D4753" s="492" t="s">
        <v>61</v>
      </c>
      <c r="E4753" s="684">
        <f>E4754</f>
        <v>500000</v>
      </c>
      <c r="F4753" s="597">
        <f t="shared" ref="F4753:G4753" si="3793">E4753*1.1</f>
        <v>550000</v>
      </c>
      <c r="G4753" s="597">
        <f t="shared" si="3793"/>
        <v>605000</v>
      </c>
      <c r="H4753" s="132"/>
    </row>
    <row r="4754" spans="1:8" s="289" customFormat="1" outlineLevel="2">
      <c r="A4754" s="382"/>
      <c r="B4754" s="382"/>
      <c r="C4754" s="389">
        <v>2220101</v>
      </c>
      <c r="D4754" s="494" t="s">
        <v>92</v>
      </c>
      <c r="E4754" s="675">
        <v>500000</v>
      </c>
      <c r="F4754" s="597">
        <f t="shared" ref="F4754:G4754" si="3794">E4754*1.1</f>
        <v>550000</v>
      </c>
      <c r="G4754" s="597">
        <f t="shared" si="3794"/>
        <v>605000</v>
      </c>
      <c r="H4754" s="132"/>
    </row>
    <row r="4755" spans="1:8" s="289" customFormat="1" outlineLevel="2">
      <c r="A4755" s="382"/>
      <c r="B4755" s="382"/>
      <c r="C4755" s="386">
        <v>3111000</v>
      </c>
      <c r="D4755" s="492" t="s">
        <v>65</v>
      </c>
      <c r="E4755" s="684">
        <f>E4756</f>
        <v>100000</v>
      </c>
      <c r="F4755" s="597">
        <f t="shared" ref="F4755:G4755" si="3795">E4755*1.1</f>
        <v>110000.00000000001</v>
      </c>
      <c r="G4755" s="597">
        <f t="shared" si="3795"/>
        <v>121000.00000000003</v>
      </c>
      <c r="H4755" s="132"/>
    </row>
    <row r="4756" spans="1:8" s="289" customFormat="1" outlineLevel="2">
      <c r="A4756" s="382"/>
      <c r="B4756" s="382"/>
      <c r="C4756" s="389">
        <v>3111002</v>
      </c>
      <c r="D4756" s="494" t="s">
        <v>67</v>
      </c>
      <c r="E4756" s="319">
        <v>100000</v>
      </c>
      <c r="F4756" s="597">
        <f t="shared" ref="F4756:G4756" si="3796">E4756*1.1</f>
        <v>110000.00000000001</v>
      </c>
      <c r="G4756" s="597">
        <f t="shared" si="3796"/>
        <v>121000.00000000003</v>
      </c>
      <c r="H4756" s="132"/>
    </row>
    <row r="4757" spans="1:8" s="289" customFormat="1" outlineLevel="1">
      <c r="A4757" s="382"/>
      <c r="B4757" s="382"/>
      <c r="C4757" s="389"/>
      <c r="D4757" s="492" t="s">
        <v>1240</v>
      </c>
      <c r="E4757" s="684">
        <f>E4724+E4728+E4732+E4736+E4744+E4747+E4749+E4753+E4755+E4751</f>
        <v>6620006</v>
      </c>
      <c r="F4757" s="597">
        <f t="shared" ref="F4757:G4757" si="3797">E4757*1.1</f>
        <v>7282006.6000000006</v>
      </c>
      <c r="G4757" s="597">
        <f t="shared" si="3797"/>
        <v>8010207.2600000016</v>
      </c>
      <c r="H4757" s="132"/>
    </row>
    <row r="4758" spans="1:8" s="289" customFormat="1">
      <c r="A4758" s="382"/>
      <c r="B4758" s="382"/>
      <c r="C4758" s="438"/>
      <c r="D4758" s="317" t="s">
        <v>101</v>
      </c>
      <c r="E4758" s="681">
        <f>SUM(E4630,E4678,E4720,E4757)</f>
        <v>83299728</v>
      </c>
      <c r="F4758" s="681">
        <f>SUM(F4630,F4678,F4720,F4757)</f>
        <v>91629700.799999997</v>
      </c>
      <c r="G4758" s="681">
        <f>SUM(G4630,G4678,G4720,G4757)</f>
        <v>100792670.88000001</v>
      </c>
      <c r="H4758" s="132"/>
    </row>
    <row r="4759" spans="1:8" s="289" customFormat="1">
      <c r="A4759" s="382"/>
      <c r="B4759" s="382"/>
      <c r="C4759" s="438"/>
      <c r="D4759" s="317" t="s">
        <v>201</v>
      </c>
      <c r="E4759" s="681">
        <f>E4636</f>
        <v>13750000</v>
      </c>
      <c r="F4759" s="681">
        <f>F4636</f>
        <v>15125000.000000002</v>
      </c>
      <c r="G4759" s="681">
        <f>G4636</f>
        <v>16637500.000000004</v>
      </c>
      <c r="H4759" s="132"/>
    </row>
    <row r="4760" spans="1:8" s="289" customFormat="1">
      <c r="A4760" s="382"/>
      <c r="B4760" s="382"/>
      <c r="C4760" s="804" t="s">
        <v>1244</v>
      </c>
      <c r="D4760" s="805"/>
      <c r="E4760" s="681">
        <f t="shared" ref="E4760:G4760" si="3798">E4758+E4759</f>
        <v>97049728</v>
      </c>
      <c r="F4760" s="681">
        <f t="shared" si="3798"/>
        <v>106754700.8</v>
      </c>
      <c r="G4760" s="681">
        <f t="shared" si="3798"/>
        <v>117430170.88000001</v>
      </c>
      <c r="H4760" s="132"/>
    </row>
    <row r="4761" spans="1:8">
      <c r="A4761" s="324"/>
      <c r="B4761" s="324"/>
      <c r="C4761" s="324"/>
      <c r="D4761" s="324"/>
      <c r="E4761" s="495"/>
      <c r="F4761" s="597"/>
      <c r="G4761" s="597"/>
    </row>
    <row r="4762" spans="1:8">
      <c r="A4762" s="324"/>
      <c r="B4762" s="324"/>
      <c r="C4762" s="324"/>
      <c r="D4762" s="324"/>
      <c r="E4762" s="495"/>
      <c r="F4762" s="597"/>
      <c r="G4762" s="597"/>
    </row>
    <row r="4763" spans="1:8">
      <c r="A4763" s="324"/>
      <c r="B4763" s="324"/>
      <c r="C4763" s="324"/>
      <c r="D4763" s="324"/>
      <c r="E4763" s="495"/>
      <c r="F4763" s="597"/>
      <c r="G4763" s="597"/>
    </row>
    <row r="4764" spans="1:8">
      <c r="A4764" s="324"/>
      <c r="B4764" s="324"/>
      <c r="C4764" s="438" t="s">
        <v>1245</v>
      </c>
      <c r="D4764" s="324"/>
      <c r="E4764" s="495"/>
      <c r="F4764" s="597"/>
      <c r="G4764" s="597"/>
    </row>
    <row r="4765" spans="1:8">
      <c r="A4765" s="324"/>
      <c r="B4765" s="324"/>
      <c r="C4765" s="438"/>
      <c r="D4765" s="317" t="s">
        <v>101</v>
      </c>
      <c r="E4765" s="681">
        <v>1007699946.074</v>
      </c>
      <c r="F4765" s="500">
        <f t="shared" ref="F4765:G4765" si="3799">E4765*1.1</f>
        <v>1108469940.6814001</v>
      </c>
      <c r="G4765" s="500">
        <f t="shared" si="3799"/>
        <v>1219316934.7495401</v>
      </c>
    </row>
    <row r="4766" spans="1:8">
      <c r="A4766" s="324"/>
      <c r="B4766" s="324"/>
      <c r="C4766" s="438"/>
      <c r="D4766" s="317" t="s">
        <v>201</v>
      </c>
      <c r="E4766" s="681">
        <v>100000000</v>
      </c>
      <c r="F4766" s="500">
        <f t="shared" ref="F4766:G4766" si="3800">E4766*1.1</f>
        <v>110000000.00000001</v>
      </c>
      <c r="G4766" s="500">
        <f t="shared" si="3800"/>
        <v>121000000.00000003</v>
      </c>
    </row>
    <row r="4767" spans="1:8">
      <c r="A4767" s="324"/>
      <c r="B4767" s="324"/>
      <c r="C4767" s="804" t="s">
        <v>1246</v>
      </c>
      <c r="D4767" s="805"/>
      <c r="E4767" s="681">
        <f t="shared" ref="E4767" si="3801">E4765+E4766</f>
        <v>1107699946.0739999</v>
      </c>
      <c r="F4767" s="500">
        <f t="shared" ref="F4767:G4767" si="3802">E4767*1.1</f>
        <v>1218469940.6814001</v>
      </c>
      <c r="G4767" s="500">
        <f t="shared" si="3802"/>
        <v>1340316934.7495401</v>
      </c>
    </row>
    <row r="4768" spans="1:8">
      <c r="A4768" s="324"/>
      <c r="B4768" s="324"/>
      <c r="C4768" s="324"/>
      <c r="D4768" s="324"/>
      <c r="E4768" s="495"/>
      <c r="F4768" s="324"/>
      <c r="G4768" s="324"/>
    </row>
    <row r="4769" spans="1:7">
      <c r="A4769" s="324"/>
      <c r="B4769" s="324"/>
      <c r="C4769" s="324"/>
      <c r="D4769" s="324"/>
      <c r="E4769" s="495"/>
      <c r="F4769" s="324"/>
      <c r="G4769" s="324"/>
    </row>
    <row r="4770" spans="1:7">
      <c r="A4770" s="324"/>
      <c r="B4770" s="324"/>
      <c r="C4770" s="324"/>
      <c r="D4770" s="324"/>
      <c r="E4770" s="495"/>
      <c r="F4770" s="324"/>
      <c r="G4770" s="324"/>
    </row>
    <row r="4771" spans="1:7">
      <c r="A4771" s="324"/>
      <c r="B4771" s="324"/>
      <c r="C4771" s="324"/>
      <c r="D4771" s="665" t="s">
        <v>1247</v>
      </c>
      <c r="E4771" s="697">
        <f t="shared" ref="E4771:G4773" si="3803">E4758+E4577+E4338+E4139+E3868+E3474+E3161+E2811+E2476+E2221+E1883+E1622+E1430+E1203+E834</f>
        <v>8507344283.330759</v>
      </c>
      <c r="F4771" s="697">
        <f t="shared" si="3803"/>
        <v>9358691711.6638355</v>
      </c>
      <c r="G4771" s="697">
        <f t="shared" si="3803"/>
        <v>10292832978.872221</v>
      </c>
    </row>
    <row r="4772" spans="1:7">
      <c r="A4772" s="324"/>
      <c r="B4772" s="324"/>
      <c r="C4772" s="324"/>
      <c r="D4772" s="665" t="s">
        <v>1248</v>
      </c>
      <c r="E4772" s="697">
        <f t="shared" si="3803"/>
        <v>4409975918.5952396</v>
      </c>
      <c r="F4772" s="697">
        <f t="shared" si="3803"/>
        <v>4849323510.4547644</v>
      </c>
      <c r="G4772" s="697">
        <f t="shared" si="3803"/>
        <v>5334255861.5002413</v>
      </c>
    </row>
    <row r="4773" spans="1:7">
      <c r="A4773" s="324"/>
      <c r="B4773" s="324"/>
      <c r="C4773" s="324"/>
      <c r="D4773" s="665" t="s">
        <v>1249</v>
      </c>
      <c r="E4773" s="697">
        <f t="shared" si="3803"/>
        <v>12917320201.925999</v>
      </c>
      <c r="F4773" s="697">
        <f t="shared" si="3803"/>
        <v>14208015222.118599</v>
      </c>
      <c r="G4773" s="697">
        <f t="shared" si="3803"/>
        <v>15627088840.372459</v>
      </c>
    </row>
    <row r="4774" spans="1:7">
      <c r="A4774" s="324"/>
      <c r="B4774" s="324"/>
      <c r="C4774" s="324"/>
      <c r="D4774" s="665" t="s">
        <v>1250</v>
      </c>
      <c r="E4774" s="697">
        <f>E4767</f>
        <v>1107699946.0739999</v>
      </c>
      <c r="F4774" s="697">
        <f t="shared" ref="F4774:G4774" si="3804">F4767</f>
        <v>1218469940.6814001</v>
      </c>
      <c r="G4774" s="697">
        <f t="shared" si="3804"/>
        <v>1340316934.7495401</v>
      </c>
    </row>
    <row r="4775" spans="1:7">
      <c r="A4775" s="324"/>
      <c r="B4775" s="324"/>
      <c r="C4775" s="324"/>
      <c r="D4775" s="665" t="s">
        <v>1251</v>
      </c>
      <c r="E4775" s="697">
        <f>E4773+E4774</f>
        <v>14025020147.999998</v>
      </c>
      <c r="F4775" s="697">
        <f t="shared" ref="F4775:G4775" si="3805">F4773+F4774</f>
        <v>15426485162.799999</v>
      </c>
      <c r="G4775" s="697">
        <f t="shared" si="3805"/>
        <v>16967405775.122</v>
      </c>
    </row>
    <row r="4776" spans="1:7">
      <c r="A4776" s="324"/>
      <c r="B4776" s="324"/>
      <c r="C4776" s="324"/>
      <c r="D4776" s="665" t="s">
        <v>1252</v>
      </c>
      <c r="E4776" s="697">
        <f>'Revenue Projections'!I68</f>
        <v>14025020147.999998</v>
      </c>
      <c r="F4776" s="697">
        <f>'Revenue Projections'!J68</f>
        <v>14629283859.549999</v>
      </c>
      <c r="G4776" s="697">
        <f>'Revenue Projections'!K68</f>
        <v>15263089206.6775</v>
      </c>
    </row>
    <row r="4777" spans="1:7">
      <c r="A4777" s="324"/>
      <c r="B4777" s="324"/>
      <c r="C4777" s="324"/>
      <c r="D4777" s="665" t="s">
        <v>1253</v>
      </c>
      <c r="E4777" s="697">
        <f>E4776-E4775</f>
        <v>0</v>
      </c>
      <c r="F4777" s="697">
        <f t="shared" ref="F4777:G4777" si="3806">F4776-F4775</f>
        <v>-797201303.25</v>
      </c>
      <c r="G4777" s="697">
        <f t="shared" si="3806"/>
        <v>-1704316568.4445</v>
      </c>
    </row>
  </sheetData>
  <mergeCells count="46">
    <mergeCell ref="C1717:D1717"/>
    <mergeCell ref="C1718:D1718"/>
    <mergeCell ref="A1:G1"/>
    <mergeCell ref="C836:D836"/>
    <mergeCell ref="C1205:D1205"/>
    <mergeCell ref="C1379:E1379"/>
    <mergeCell ref="C1432:D1432"/>
    <mergeCell ref="C1667:D1667"/>
    <mergeCell ref="C1668:D1668"/>
    <mergeCell ref="C1706:D1706"/>
    <mergeCell ref="C1708:D1708"/>
    <mergeCell ref="C1709:D1709"/>
    <mergeCell ref="C1624:D1624"/>
    <mergeCell ref="C1628:D1628"/>
    <mergeCell ref="C1629:D1629"/>
    <mergeCell ref="C1630:D1630"/>
    <mergeCell ref="C1666:D1666"/>
    <mergeCell ref="C2223:D2223"/>
    <mergeCell ref="C2287:E2287"/>
    <mergeCell ref="C2478:D2478"/>
    <mergeCell ref="C2813:D2813"/>
    <mergeCell ref="C1720:D1720"/>
    <mergeCell ref="C1721:D1721"/>
    <mergeCell ref="C1722:D1722"/>
    <mergeCell ref="C1762:D1762"/>
    <mergeCell ref="C1764:D1764"/>
    <mergeCell ref="C1773:D1773"/>
    <mergeCell ref="C1774:D1774"/>
    <mergeCell ref="C1776:D1776"/>
    <mergeCell ref="C1777:D1777"/>
    <mergeCell ref="C1820:D1820"/>
    <mergeCell ref="C1882:D1882"/>
    <mergeCell ref="C3163:D3163"/>
    <mergeCell ref="C4760:D4760"/>
    <mergeCell ref="C4767:D4767"/>
    <mergeCell ref="C3476:D3476"/>
    <mergeCell ref="C3870:D3870"/>
    <mergeCell ref="C4141:D4141"/>
    <mergeCell ref="C4340:D4340"/>
    <mergeCell ref="C4579:D4579"/>
    <mergeCell ref="C1885:D1885"/>
    <mergeCell ref="C1821:E1821"/>
    <mergeCell ref="D1835:E1835"/>
    <mergeCell ref="D1836:E1836"/>
    <mergeCell ref="C1872:D1872"/>
    <mergeCell ref="C1881:D1881"/>
  </mergeCells>
  <pageMargins left="0.70866141732283472" right="0.70866141732283472" top="0.74803149606299213" bottom="0.74803149606299213" header="0.31496062992125984" footer="0.31496062992125984"/>
  <pageSetup paperSize="9" scale="64" fitToHeight="0" orientation="portrait" r:id="rId1"/>
  <headerFooter>
    <oddHeader>&amp;F</oddHead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50123-B1C9-4ED4-AD7E-BB3B0EEFBE46}">
  <dimension ref="A7:C12"/>
  <sheetViews>
    <sheetView workbookViewId="0">
      <selection activeCell="B6" sqref="B6"/>
    </sheetView>
  </sheetViews>
  <sheetFormatPr defaultRowHeight="14.25"/>
  <sheetData>
    <row r="7" spans="1:3">
      <c r="A7" s="743"/>
    </row>
    <row r="8" spans="1:3">
      <c r="A8" s="743"/>
    </row>
    <row r="9" spans="1:3">
      <c r="A9" s="743"/>
    </row>
    <row r="12" spans="1:3">
      <c r="C12" s="74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160"/>
  <sheetViews>
    <sheetView topLeftCell="A2111" zoomScale="70" zoomScaleNormal="70" workbookViewId="0">
      <selection activeCell="C2166" sqref="C2166"/>
    </sheetView>
  </sheetViews>
  <sheetFormatPr defaultColWidth="8.53125" defaultRowHeight="22.05" customHeight="1" outlineLevelRow="1"/>
  <cols>
    <col min="1" max="1" width="62" style="205" customWidth="1"/>
    <col min="2" max="2" width="22.06640625" style="206" customWidth="1"/>
    <col min="3" max="3" width="23.06640625" style="206" customWidth="1"/>
    <col min="4" max="4" width="21.33203125" style="206" customWidth="1"/>
    <col min="5" max="5" width="22.46484375" style="206" customWidth="1"/>
    <col min="6" max="6" width="17.59765625" style="205" customWidth="1"/>
    <col min="7" max="7" width="8.796875" style="205" customWidth="1"/>
    <col min="8" max="8" width="10" style="205" customWidth="1"/>
    <col min="9" max="16384" width="8.53125" style="205"/>
  </cols>
  <sheetData>
    <row r="1" spans="1:5" ht="22.05" customHeight="1">
      <c r="A1" s="207" t="s">
        <v>1254</v>
      </c>
      <c r="B1" s="786"/>
      <c r="C1" s="786"/>
      <c r="D1" s="787"/>
      <c r="E1" s="787"/>
    </row>
    <row r="2" spans="1:5" ht="22.05" customHeight="1">
      <c r="A2" s="207" t="s">
        <v>0</v>
      </c>
      <c r="B2" s="786"/>
      <c r="C2" s="786"/>
      <c r="D2" s="787"/>
      <c r="E2" s="787"/>
    </row>
    <row r="3" spans="1:5" ht="22.05" customHeight="1">
      <c r="A3" s="201" t="s">
        <v>8</v>
      </c>
      <c r="B3" s="208"/>
      <c r="C3" s="208"/>
    </row>
    <row r="4" spans="1:5" ht="22.05" hidden="1" customHeight="1" outlineLevel="1">
      <c r="A4" s="201" t="s">
        <v>1255</v>
      </c>
      <c r="B4" s="209"/>
      <c r="C4" s="209"/>
      <c r="D4" s="209"/>
      <c r="E4" s="209"/>
    </row>
    <row r="5" spans="1:5" ht="22.05" hidden="1" customHeight="1" outlineLevel="1">
      <c r="A5" s="210" t="s">
        <v>1256</v>
      </c>
      <c r="B5" s="822" t="s">
        <v>1257</v>
      </c>
      <c r="C5" s="822" t="s">
        <v>1258</v>
      </c>
      <c r="D5" s="824" t="s">
        <v>1259</v>
      </c>
      <c r="E5" s="825"/>
    </row>
    <row r="6" spans="1:5" ht="22.05" hidden="1" customHeight="1" outlineLevel="1">
      <c r="A6" s="211"/>
      <c r="B6" s="823"/>
      <c r="C6" s="823"/>
      <c r="D6" s="788" t="s">
        <v>1260</v>
      </c>
      <c r="E6" s="788" t="s">
        <v>1261</v>
      </c>
    </row>
    <row r="7" spans="1:5" ht="22.05" hidden="1" customHeight="1" outlineLevel="1">
      <c r="A7" s="212" t="s">
        <v>1262</v>
      </c>
      <c r="B7" s="213">
        <v>1966313706</v>
      </c>
      <c r="C7" s="213">
        <f>C66</f>
        <v>1957173722</v>
      </c>
      <c r="D7" s="213">
        <f>D66</f>
        <v>2152891094.2000003</v>
      </c>
      <c r="E7" s="213">
        <f>E66</f>
        <v>2368180203.6200004</v>
      </c>
    </row>
    <row r="8" spans="1:5" ht="22.05" hidden="1" customHeight="1" outlineLevel="1">
      <c r="A8" s="214" t="s">
        <v>1263</v>
      </c>
      <c r="B8" s="215">
        <v>1966313706</v>
      </c>
      <c r="C8" s="215">
        <f>SUM(C7)</f>
        <v>1957173722</v>
      </c>
      <c r="D8" s="215">
        <f>SUM(D7)</f>
        <v>2152891094.2000003</v>
      </c>
      <c r="E8" s="215">
        <f>SUM(E7)</f>
        <v>2368180203.6200004</v>
      </c>
    </row>
    <row r="9" spans="1:5" s="201" customFormat="1" ht="22.05" hidden="1" customHeight="1" outlineLevel="1">
      <c r="A9" s="216" t="s">
        <v>1264</v>
      </c>
      <c r="B9" s="217">
        <v>13679000</v>
      </c>
      <c r="C9" s="217">
        <f>C80</f>
        <v>12220000</v>
      </c>
      <c r="D9" s="217">
        <f>D80</f>
        <v>13442000.000000002</v>
      </c>
      <c r="E9" s="217">
        <f>E80</f>
        <v>14786200.000000004</v>
      </c>
    </row>
    <row r="10" spans="1:5" s="201" customFormat="1" ht="22.05" hidden="1" customHeight="1" outlineLevel="1">
      <c r="A10" s="218" t="s">
        <v>1265</v>
      </c>
      <c r="B10" s="215">
        <v>13679000</v>
      </c>
      <c r="C10" s="215">
        <f>C9</f>
        <v>12220000</v>
      </c>
      <c r="D10" s="215">
        <f t="shared" ref="D10:E10" si="0">D9</f>
        <v>13442000.000000002</v>
      </c>
      <c r="E10" s="215">
        <f t="shared" si="0"/>
        <v>14786200.000000004</v>
      </c>
    </row>
    <row r="11" spans="1:5" s="201" customFormat="1" ht="22.05" hidden="1" customHeight="1" outlineLevel="1">
      <c r="A11" s="219" t="s">
        <v>1266</v>
      </c>
      <c r="B11" s="789">
        <v>5380000</v>
      </c>
      <c r="C11" s="790">
        <f>C94</f>
        <v>15720000</v>
      </c>
      <c r="D11" s="790">
        <f>D94</f>
        <v>17292000</v>
      </c>
      <c r="E11" s="790">
        <f>E94</f>
        <v>19021200.000000004</v>
      </c>
    </row>
    <row r="12" spans="1:5" s="201" customFormat="1" ht="22.05" hidden="1" customHeight="1" outlineLevel="1">
      <c r="A12" s="220" t="s">
        <v>1267</v>
      </c>
      <c r="B12" s="791">
        <v>5380000</v>
      </c>
      <c r="C12" s="215">
        <f>C11</f>
        <v>15720000</v>
      </c>
      <c r="D12" s="215">
        <f t="shared" ref="D12:E12" si="1">D11</f>
        <v>17292000</v>
      </c>
      <c r="E12" s="215">
        <f t="shared" si="1"/>
        <v>19021200.000000004</v>
      </c>
    </row>
    <row r="13" spans="1:5" s="201" customFormat="1" ht="22.05" hidden="1" customHeight="1" outlineLevel="1">
      <c r="A13" s="216" t="s">
        <v>1268</v>
      </c>
      <c r="B13" s="789">
        <v>25000</v>
      </c>
      <c r="C13" s="792">
        <f>C108</f>
        <v>0</v>
      </c>
      <c r="D13" s="792">
        <f>D108</f>
        <v>0</v>
      </c>
      <c r="E13" s="792">
        <f>E108</f>
        <v>0</v>
      </c>
    </row>
    <row r="14" spans="1:5" s="201" customFormat="1" ht="22.05" hidden="1" customHeight="1" outlineLevel="1">
      <c r="A14" s="221" t="s">
        <v>1269</v>
      </c>
      <c r="B14" s="791">
        <v>25000</v>
      </c>
      <c r="C14" s="793">
        <f>C13</f>
        <v>0</v>
      </c>
      <c r="D14" s="793">
        <f t="shared" ref="D14:E14" si="2">D13</f>
        <v>0</v>
      </c>
      <c r="E14" s="793">
        <f t="shared" si="2"/>
        <v>0</v>
      </c>
    </row>
    <row r="15" spans="1:5" s="201" customFormat="1" ht="22.05" hidden="1" customHeight="1" outlineLevel="1">
      <c r="A15" s="219" t="s">
        <v>1270</v>
      </c>
      <c r="B15" s="789">
        <v>11720000</v>
      </c>
      <c r="C15" s="790">
        <f>C121</f>
        <v>10680000</v>
      </c>
      <c r="D15" s="790">
        <f>D121</f>
        <v>11748000</v>
      </c>
      <c r="E15" s="790">
        <f>E121</f>
        <v>12922800.000000002</v>
      </c>
    </row>
    <row r="16" spans="1:5" s="201" customFormat="1" ht="22.05" hidden="1" customHeight="1" outlineLevel="1">
      <c r="A16" s="220" t="s">
        <v>1271</v>
      </c>
      <c r="B16" s="791">
        <v>11720000</v>
      </c>
      <c r="C16" s="794">
        <f>C15</f>
        <v>10680000</v>
      </c>
      <c r="D16" s="794">
        <f t="shared" ref="D16:E16" si="3">D15</f>
        <v>11748000</v>
      </c>
      <c r="E16" s="794">
        <f t="shared" si="3"/>
        <v>12922800.000000002</v>
      </c>
    </row>
    <row r="17" spans="1:5" s="201" customFormat="1" ht="22.05" hidden="1" customHeight="1" outlineLevel="1">
      <c r="A17" s="219" t="s">
        <v>1272</v>
      </c>
      <c r="B17" s="790">
        <v>8300000</v>
      </c>
      <c r="C17" s="795">
        <f>C134</f>
        <v>12480000</v>
      </c>
      <c r="D17" s="795">
        <f>D134</f>
        <v>13728000</v>
      </c>
      <c r="E17" s="795">
        <f>E134</f>
        <v>15100800.000000002</v>
      </c>
    </row>
    <row r="18" spans="1:5" s="201" customFormat="1" ht="22.05" hidden="1" customHeight="1" outlineLevel="1">
      <c r="A18" s="220" t="s">
        <v>1273</v>
      </c>
      <c r="B18" s="787">
        <v>8300000</v>
      </c>
      <c r="C18" s="796">
        <f>C17</f>
        <v>12480000</v>
      </c>
      <c r="D18" s="796">
        <f t="shared" ref="D18:E18" si="4">D17</f>
        <v>13728000</v>
      </c>
      <c r="E18" s="796">
        <f t="shared" si="4"/>
        <v>15100800.000000002</v>
      </c>
    </row>
    <row r="19" spans="1:5" ht="22.05" hidden="1" customHeight="1" outlineLevel="1">
      <c r="A19" s="222" t="s">
        <v>1274</v>
      </c>
      <c r="B19" s="217">
        <v>23021500</v>
      </c>
      <c r="C19" s="217">
        <f>C148</f>
        <v>37370999.908252716</v>
      </c>
      <c r="D19" s="217">
        <f>D148</f>
        <v>41108099.899077997</v>
      </c>
      <c r="E19" s="217">
        <f>E148</f>
        <v>45218909.888985798</v>
      </c>
    </row>
    <row r="20" spans="1:5" ht="22.05" hidden="1" customHeight="1" outlineLevel="1">
      <c r="A20" s="216" t="s">
        <v>1275</v>
      </c>
      <c r="B20" s="217">
        <v>14857070.2299302</v>
      </c>
      <c r="C20" s="217">
        <f>C162</f>
        <v>27700000</v>
      </c>
      <c r="D20" s="217">
        <f>D162</f>
        <v>30470000.000000004</v>
      </c>
      <c r="E20" s="217">
        <f>E162</f>
        <v>33517000.000000007</v>
      </c>
    </row>
    <row r="21" spans="1:5" s="201" customFormat="1" ht="22.05" hidden="1" customHeight="1" outlineLevel="1">
      <c r="A21" s="223" t="s">
        <v>1276</v>
      </c>
      <c r="B21" s="215">
        <v>37878570.2299302</v>
      </c>
      <c r="C21" s="215">
        <f>C19+C20</f>
        <v>65070999.908252716</v>
      </c>
      <c r="D21" s="215">
        <f t="shared" ref="D21:E21" si="5">D19+D20</f>
        <v>71578099.899077997</v>
      </c>
      <c r="E21" s="215">
        <f t="shared" si="5"/>
        <v>78735909.888985813</v>
      </c>
    </row>
    <row r="22" spans="1:5" ht="22.05" hidden="1" customHeight="1" outlineLevel="1">
      <c r="A22" s="216" t="s">
        <v>1277</v>
      </c>
      <c r="B22" s="217">
        <v>14009049.6746438</v>
      </c>
      <c r="C22" s="217">
        <f>C176</f>
        <v>13165000</v>
      </c>
      <c r="D22" s="217">
        <f t="shared" ref="D22:E22" si="6">D176</f>
        <v>14481500.000000002</v>
      </c>
      <c r="E22" s="217">
        <f t="shared" si="6"/>
        <v>15929650.000000004</v>
      </c>
    </row>
    <row r="23" spans="1:5" s="201" customFormat="1" ht="22.05" hidden="1" customHeight="1" outlineLevel="1">
      <c r="A23" s="221" t="s">
        <v>127</v>
      </c>
      <c r="B23" s="215">
        <v>14009049.6746438</v>
      </c>
      <c r="C23" s="215">
        <f>C22</f>
        <v>13165000</v>
      </c>
      <c r="D23" s="215">
        <f t="shared" ref="D23:E23" si="7">D22</f>
        <v>14481500.000000002</v>
      </c>
      <c r="E23" s="215">
        <f t="shared" si="7"/>
        <v>15929650.000000004</v>
      </c>
    </row>
    <row r="24" spans="1:5" s="201" customFormat="1" ht="22.05" hidden="1" customHeight="1" outlineLevel="1">
      <c r="A24" s="216" t="s">
        <v>136</v>
      </c>
      <c r="B24" s="217">
        <v>7354950</v>
      </c>
      <c r="C24" s="217">
        <f>C190</f>
        <v>8849100</v>
      </c>
      <c r="D24" s="217">
        <f t="shared" ref="D24:E24" si="8">D190</f>
        <v>9734010.0000000019</v>
      </c>
      <c r="E24" s="217">
        <f t="shared" si="8"/>
        <v>10707411.000000002</v>
      </c>
    </row>
    <row r="25" spans="1:5" s="201" customFormat="1" ht="22.05" hidden="1" customHeight="1" outlineLevel="1">
      <c r="A25" s="221" t="s">
        <v>136</v>
      </c>
      <c r="B25" s="215">
        <v>7354950</v>
      </c>
      <c r="C25" s="215">
        <f>C24</f>
        <v>8849100</v>
      </c>
      <c r="D25" s="215">
        <f t="shared" ref="D25:E25" si="9">D24</f>
        <v>9734010.0000000019</v>
      </c>
      <c r="E25" s="215">
        <f t="shared" si="9"/>
        <v>10707411.000000002</v>
      </c>
    </row>
    <row r="26" spans="1:5" s="201" customFormat="1" ht="22.05" hidden="1" customHeight="1" outlineLevel="1">
      <c r="A26" s="224" t="s">
        <v>137</v>
      </c>
      <c r="B26" s="215">
        <v>47657500</v>
      </c>
      <c r="C26" s="206">
        <f>C204</f>
        <v>53793360</v>
      </c>
      <c r="D26" s="206">
        <f t="shared" ref="D26:E26" si="10">D204</f>
        <v>59172696.000000007</v>
      </c>
      <c r="E26" s="206">
        <f t="shared" si="10"/>
        <v>65089965.600000016</v>
      </c>
    </row>
    <row r="27" spans="1:5" s="201" customFormat="1" ht="22.05" hidden="1" customHeight="1" outlineLevel="1">
      <c r="A27" s="218" t="s">
        <v>137</v>
      </c>
      <c r="B27" s="215">
        <v>47657500</v>
      </c>
      <c r="C27" s="208">
        <f>C26</f>
        <v>53793360</v>
      </c>
      <c r="D27" s="208">
        <f>D26</f>
        <v>59172696.000000007</v>
      </c>
      <c r="E27" s="208">
        <f>E26</f>
        <v>65089965.600000016</v>
      </c>
    </row>
    <row r="28" spans="1:5" ht="22.05" hidden="1" customHeight="1" outlineLevel="1">
      <c r="A28" s="212" t="s">
        <v>143</v>
      </c>
      <c r="B28" s="217">
        <v>13174682.699999999</v>
      </c>
      <c r="C28" s="217">
        <f>C218</f>
        <v>10391500</v>
      </c>
      <c r="D28" s="217">
        <f t="shared" ref="D28:E28" si="11">D218</f>
        <v>11430650</v>
      </c>
      <c r="E28" s="217">
        <f t="shared" si="11"/>
        <v>12573715</v>
      </c>
    </row>
    <row r="29" spans="1:5" s="201" customFormat="1" ht="22.05" hidden="1" customHeight="1" outlineLevel="1">
      <c r="A29" s="214" t="s">
        <v>142</v>
      </c>
      <c r="B29" s="215">
        <v>13174682.699999999</v>
      </c>
      <c r="C29" s="215">
        <f>C28</f>
        <v>10391500</v>
      </c>
      <c r="D29" s="215">
        <f t="shared" ref="D29:E29" si="12">D28</f>
        <v>11430650</v>
      </c>
      <c r="E29" s="215">
        <f t="shared" si="12"/>
        <v>12573715</v>
      </c>
    </row>
    <row r="30" spans="1:5" s="201" customFormat="1" ht="22.05" hidden="1" customHeight="1" outlineLevel="1">
      <c r="A30" s="218" t="s">
        <v>1278</v>
      </c>
      <c r="B30" s="215">
        <v>6207053.5999999996</v>
      </c>
      <c r="C30" s="206">
        <f>C231</f>
        <v>11152000</v>
      </c>
      <c r="D30" s="206">
        <f t="shared" ref="D30:E30" si="13">D231</f>
        <v>12267200</v>
      </c>
      <c r="E30" s="206">
        <f t="shared" si="13"/>
        <v>13493920</v>
      </c>
    </row>
    <row r="31" spans="1:5" s="201" customFormat="1" ht="22.05" hidden="1" customHeight="1" outlineLevel="1">
      <c r="A31" s="218" t="s">
        <v>1278</v>
      </c>
      <c r="B31" s="208">
        <v>6207053.5999999996</v>
      </c>
      <c r="C31" s="208">
        <f>C30</f>
        <v>11152000</v>
      </c>
      <c r="D31" s="208">
        <f t="shared" ref="D31:E31" si="14">D30</f>
        <v>12267200</v>
      </c>
      <c r="E31" s="208">
        <f t="shared" si="14"/>
        <v>13493920</v>
      </c>
    </row>
    <row r="32" spans="1:5" ht="22.05" hidden="1" customHeight="1" outlineLevel="1">
      <c r="A32" s="224" t="s">
        <v>1279</v>
      </c>
      <c r="B32" s="217">
        <v>38742424.270069897</v>
      </c>
      <c r="C32" s="217">
        <f>C244</f>
        <v>33762360</v>
      </c>
      <c r="D32" s="217">
        <f t="shared" ref="D32:E32" si="15">D244</f>
        <v>37138596</v>
      </c>
      <c r="E32" s="217">
        <f t="shared" si="15"/>
        <v>40852455.600000001</v>
      </c>
    </row>
    <row r="33" spans="1:5" s="201" customFormat="1" ht="22.05" hidden="1" customHeight="1" outlineLevel="1">
      <c r="A33" s="218" t="s">
        <v>1279</v>
      </c>
      <c r="B33" s="215">
        <v>38742424.270069897</v>
      </c>
      <c r="C33" s="215">
        <f>C32</f>
        <v>33762360</v>
      </c>
      <c r="D33" s="215">
        <f t="shared" ref="D33:E33" si="16">D32</f>
        <v>37138596</v>
      </c>
      <c r="E33" s="215">
        <f t="shared" si="16"/>
        <v>40852455.600000001</v>
      </c>
    </row>
    <row r="34" spans="1:5" ht="22.05" hidden="1" customHeight="1" outlineLevel="1">
      <c r="A34" s="224" t="s">
        <v>1280</v>
      </c>
      <c r="B34" s="217">
        <v>8288200</v>
      </c>
      <c r="C34" s="217">
        <f>C257</f>
        <v>13320540</v>
      </c>
      <c r="D34" s="217">
        <f t="shared" ref="D34:E34" si="17">D257</f>
        <v>14652594.000000002</v>
      </c>
      <c r="E34" s="217">
        <f t="shared" si="17"/>
        <v>16117853.400000004</v>
      </c>
    </row>
    <row r="35" spans="1:5" s="201" customFormat="1" ht="22.05" hidden="1" customHeight="1" outlineLevel="1">
      <c r="A35" s="218" t="s">
        <v>1280</v>
      </c>
      <c r="B35" s="215">
        <v>8288200</v>
      </c>
      <c r="C35" s="215">
        <f>C34</f>
        <v>13320540</v>
      </c>
      <c r="D35" s="215">
        <f t="shared" ref="D35:E35" si="18">D34</f>
        <v>14652594.000000002</v>
      </c>
      <c r="E35" s="215">
        <f t="shared" si="18"/>
        <v>16117853.400000004</v>
      </c>
    </row>
    <row r="36" spans="1:5" s="201" customFormat="1" ht="22.05" hidden="1" customHeight="1" outlineLevel="1">
      <c r="A36" s="224" t="s">
        <v>1281</v>
      </c>
      <c r="B36" s="217">
        <v>133280462</v>
      </c>
      <c r="C36" s="217">
        <f>Tables!C270</f>
        <v>114966965.52523994</v>
      </c>
      <c r="D36" s="217">
        <f>Tables!D270</f>
        <v>126463662.07776394</v>
      </c>
      <c r="E36" s="217">
        <f>Tables!E270</f>
        <v>139110028.28554034</v>
      </c>
    </row>
    <row r="37" spans="1:5" ht="22.05" hidden="1" customHeight="1" outlineLevel="1">
      <c r="A37" s="214" t="s">
        <v>1282</v>
      </c>
      <c r="B37" s="215">
        <v>133280462</v>
      </c>
      <c r="C37" s="215">
        <f>C36</f>
        <v>114966965.52523994</v>
      </c>
      <c r="D37" s="215">
        <f t="shared" ref="D37:E37" si="19">D36</f>
        <v>126463662.07776394</v>
      </c>
      <c r="E37" s="215">
        <f t="shared" si="19"/>
        <v>139110028.28554034</v>
      </c>
    </row>
    <row r="38" spans="1:5" ht="22.05" hidden="1" customHeight="1" outlineLevel="1">
      <c r="A38" s="212" t="s">
        <v>1283</v>
      </c>
      <c r="B38" s="217">
        <v>29796995</v>
      </c>
      <c r="C38" s="217">
        <f>C283</f>
        <v>30029700</v>
      </c>
      <c r="D38" s="217">
        <f t="shared" ref="D38:E38" si="20">D283</f>
        <v>33032670.000000004</v>
      </c>
      <c r="E38" s="217">
        <f t="shared" si="20"/>
        <v>36335937.000000007</v>
      </c>
    </row>
    <row r="39" spans="1:5" ht="22.05" hidden="1" customHeight="1" outlineLevel="1">
      <c r="A39" s="214" t="s">
        <v>1284</v>
      </c>
      <c r="B39" s="215">
        <v>29796995</v>
      </c>
      <c r="C39" s="215">
        <f>C38</f>
        <v>30029700</v>
      </c>
      <c r="D39" s="215">
        <f t="shared" ref="D39:E39" si="21">D38</f>
        <v>33032670.000000004</v>
      </c>
      <c r="E39" s="215">
        <f t="shared" si="21"/>
        <v>36335937.000000007</v>
      </c>
    </row>
    <row r="40" spans="1:5" ht="22.05" hidden="1" customHeight="1" outlineLevel="1">
      <c r="A40" s="214" t="s">
        <v>1285</v>
      </c>
      <c r="B40" s="215">
        <v>2341807593.4746399</v>
      </c>
      <c r="C40" s="215">
        <f>C39+C37+C35+C33+C10+C29+C25+C23+C21+C8+C31+C27+C18+C16+C14+C12</f>
        <v>2362775247.4334927</v>
      </c>
      <c r="D40" s="215">
        <f t="shared" ref="D40:E40" si="22">D39+D37+D35+D33+D10+D29+D25+D23+D21+D8+D31+D27+D18+D16+D14+D12</f>
        <v>2599052772.1768422</v>
      </c>
      <c r="E40" s="215">
        <f t="shared" si="22"/>
        <v>2858958049.3945265</v>
      </c>
    </row>
    <row r="41" spans="1:5" ht="22.05" hidden="1" customHeight="1" outlineLevel="1"/>
    <row r="42" spans="1:5" ht="22.05" hidden="1" customHeight="1" outlineLevel="1">
      <c r="A42" s="201" t="s">
        <v>1286</v>
      </c>
    </row>
    <row r="43" spans="1:5" ht="22.05" hidden="1" customHeight="1" outlineLevel="1">
      <c r="A43" s="210" t="s">
        <v>1287</v>
      </c>
      <c r="B43" s="822" t="s">
        <v>1257</v>
      </c>
      <c r="C43" s="822" t="s">
        <v>1258</v>
      </c>
      <c r="D43" s="824" t="s">
        <v>1259</v>
      </c>
      <c r="E43" s="825"/>
    </row>
    <row r="44" spans="1:5" s="201" customFormat="1" ht="22.05" hidden="1" customHeight="1" outlineLevel="1">
      <c r="A44" s="211"/>
      <c r="B44" s="823"/>
      <c r="C44" s="823"/>
      <c r="D44" s="788" t="s">
        <v>1260</v>
      </c>
      <c r="E44" s="788" t="s">
        <v>1261</v>
      </c>
    </row>
    <row r="45" spans="1:5" s="201" customFormat="1" ht="22.05" hidden="1" customHeight="1" outlineLevel="1">
      <c r="A45" s="218" t="s">
        <v>197</v>
      </c>
      <c r="B45" s="225">
        <v>1349706417.4746399</v>
      </c>
      <c r="C45" s="225">
        <f>C46+C47+C48</f>
        <v>1427495823.9082527</v>
      </c>
      <c r="D45" s="225">
        <f>SUM(D46:D48)</f>
        <v>1570245406.299078</v>
      </c>
      <c r="E45" s="225">
        <f>SUM(E46:E48)</f>
        <v>1727269946.9289861</v>
      </c>
    </row>
    <row r="46" spans="1:5" ht="22.05" hidden="1" customHeight="1" outlineLevel="1">
      <c r="A46" s="224" t="s">
        <v>1288</v>
      </c>
      <c r="B46" s="217">
        <v>562143167</v>
      </c>
      <c r="C46" s="217">
        <f>C60+C74+C88+C102+C115+C128+C142+C156+C170+C184+C198+C212+C225+C238+C251+C264+C277</f>
        <v>589307167</v>
      </c>
      <c r="D46" s="217">
        <f t="shared" ref="D46:E46" si="23">D60+D74+D88+D102+D115+D128+D142+D156+D170+D184+D198+D212+D225+D238+D251+D264+D277</f>
        <v>648237883.70000005</v>
      </c>
      <c r="E46" s="217">
        <f t="shared" si="23"/>
        <v>713061672.07000005</v>
      </c>
    </row>
    <row r="47" spans="1:5" s="201" customFormat="1" ht="22.05" hidden="1" customHeight="1" outlineLevel="1">
      <c r="A47" s="224" t="s">
        <v>1289</v>
      </c>
      <c r="B47" s="217">
        <v>739647050.47464395</v>
      </c>
      <c r="C47" s="217">
        <f>C61+C75+C89+C103+C116+C129+C143+C157+C171+C185+C199+C213+C226+C239+C252+C265+C278</f>
        <v>765985555.90825272</v>
      </c>
      <c r="D47" s="217">
        <f t="shared" ref="D47:E47" si="24">D61+D75+D89+D103+D116+D129+D143+D157+D171+D185+D199+D213+D226+D239+D252+D265+D278</f>
        <v>842584111.49907804</v>
      </c>
      <c r="E47" s="217">
        <f t="shared" si="24"/>
        <v>926842522.64898586</v>
      </c>
    </row>
    <row r="48" spans="1:5" ht="22.05" hidden="1" customHeight="1" outlineLevel="1">
      <c r="A48" s="224" t="s">
        <v>1290</v>
      </c>
      <c r="B48" s="217">
        <v>47916200</v>
      </c>
      <c r="C48" s="217">
        <f>C62+C76+C90+C104+C117+C130+C144+C158+C172+C186+C200+C214+C227+C240+C253+C266+C279</f>
        <v>72203101</v>
      </c>
      <c r="D48" s="217">
        <f t="shared" ref="D48:E48" si="25">D62+D76+D90+D104+D117+D130+D144+D158+D172+D186+D200+D214+D227+D240+D253+D266+D279</f>
        <v>79423411.100000009</v>
      </c>
      <c r="E48" s="217">
        <f t="shared" si="25"/>
        <v>87365752.210000023</v>
      </c>
    </row>
    <row r="49" spans="1:6" ht="22.05" hidden="1" customHeight="1" outlineLevel="1">
      <c r="A49" s="218" t="s">
        <v>1291</v>
      </c>
      <c r="B49" s="215">
        <v>992101176</v>
      </c>
      <c r="C49" s="215">
        <f>C50+C51</f>
        <v>935279423.52523994</v>
      </c>
      <c r="D49" s="215">
        <f>SUM(D50:D51)</f>
        <v>1028807365.8777641</v>
      </c>
      <c r="E49" s="215">
        <f>SUM(E50:E51)</f>
        <v>1131688102.4655406</v>
      </c>
    </row>
    <row r="50" spans="1:6" s="201" customFormat="1" ht="22.05" hidden="1" customHeight="1" outlineLevel="1">
      <c r="A50" s="224" t="s">
        <v>1292</v>
      </c>
      <c r="B50" s="217">
        <v>992101176</v>
      </c>
      <c r="C50" s="217">
        <f>C64+C78+C92+C106+C119+C132+C146+C160+C174+C188+C202+C216+C229+C242+C255+C268+C281</f>
        <v>935279423.52523994</v>
      </c>
      <c r="D50" s="217">
        <f t="shared" ref="D50:E50" si="26">D64+D78+D92+D106+D119+D132+D146+D160+D174+D188+D202+D216+D229+D242+D255+D268+D281</f>
        <v>1028807365.8777641</v>
      </c>
      <c r="E50" s="217">
        <f t="shared" si="26"/>
        <v>1131688102.4655406</v>
      </c>
    </row>
    <row r="51" spans="1:6" ht="22.05" hidden="1" customHeight="1" outlineLevel="1">
      <c r="A51" s="224" t="s">
        <v>1293</v>
      </c>
      <c r="B51" s="217">
        <v>0</v>
      </c>
      <c r="C51" s="217">
        <f>C65+C79+C147+C107+C189+C203+C133+C175+C161+C93+C120</f>
        <v>0</v>
      </c>
      <c r="D51" s="217">
        <f>D65+D79+D147+D107+D189+D203+D133+D175+D161+D93+D120</f>
        <v>0</v>
      </c>
      <c r="E51" s="217">
        <f>E65+E79+E147+E107+E189+E203+E133+E175+E161+E93+E120</f>
        <v>0</v>
      </c>
    </row>
    <row r="52" spans="1:6" ht="22.05" hidden="1" customHeight="1" outlineLevel="1">
      <c r="A52" s="218" t="s">
        <v>1294</v>
      </c>
      <c r="B52" s="215">
        <v>2341807593.4746399</v>
      </c>
      <c r="C52" s="215">
        <f>C49+C45</f>
        <v>2362775247.4334927</v>
      </c>
      <c r="D52" s="215">
        <f>D49+D45</f>
        <v>2599052772.1768422</v>
      </c>
      <c r="E52" s="215">
        <f>E49+E45</f>
        <v>2858958049.3945265</v>
      </c>
    </row>
    <row r="53" spans="1:6" ht="22.05" hidden="1" customHeight="1" outlineLevel="1">
      <c r="B53" s="206">
        <v>0</v>
      </c>
    </row>
    <row r="54" spans="1:6" s="201" customFormat="1" ht="22.05" hidden="1" customHeight="1" outlineLevel="1">
      <c r="A54" s="201" t="s">
        <v>1295</v>
      </c>
      <c r="B54" s="208"/>
      <c r="C54" s="208"/>
      <c r="D54" s="208"/>
      <c r="E54" s="208"/>
    </row>
    <row r="55" spans="1:6" ht="22.05" hidden="1" customHeight="1" outlineLevel="1">
      <c r="A55" s="201" t="s">
        <v>1296</v>
      </c>
    </row>
    <row r="56" spans="1:6" ht="22.05" hidden="1" customHeight="1" outlineLevel="1">
      <c r="A56" s="205" t="s">
        <v>1297</v>
      </c>
    </row>
    <row r="57" spans="1:6" s="201" customFormat="1" ht="22.05" hidden="1" customHeight="1" outlineLevel="1">
      <c r="A57" s="210" t="s">
        <v>1287</v>
      </c>
      <c r="B57" s="822" t="s">
        <v>1257</v>
      </c>
      <c r="C57" s="822" t="s">
        <v>1258</v>
      </c>
      <c r="D57" s="824" t="s">
        <v>1259</v>
      </c>
      <c r="E57" s="825"/>
    </row>
    <row r="58" spans="1:6" ht="22.05" hidden="1" customHeight="1" outlineLevel="1">
      <c r="A58" s="211"/>
      <c r="B58" s="823"/>
      <c r="C58" s="823"/>
      <c r="D58" s="788" t="s">
        <v>1260</v>
      </c>
      <c r="E58" s="788" t="s">
        <v>1261</v>
      </c>
    </row>
    <row r="59" spans="1:6" ht="22.05" hidden="1" customHeight="1" outlineLevel="1">
      <c r="A59" s="226" t="s">
        <v>1298</v>
      </c>
      <c r="B59" s="215">
        <v>1021671030</v>
      </c>
      <c r="C59" s="215">
        <f>SUM(C60:C62)</f>
        <v>1057673722</v>
      </c>
      <c r="D59" s="215">
        <f>SUM(D60:D62)</f>
        <v>1163441094.2</v>
      </c>
      <c r="E59" s="215">
        <f>SUM(E60:E62)</f>
        <v>1279785203.6200001</v>
      </c>
      <c r="F59" s="227" t="e">
        <f>E59-#REF!</f>
        <v>#REF!</v>
      </c>
    </row>
    <row r="60" spans="1:6" ht="22.05" hidden="1" customHeight="1" outlineLevel="1">
      <c r="A60" s="224" t="s">
        <v>1288</v>
      </c>
      <c r="B60" s="217">
        <v>562143167</v>
      </c>
      <c r="C60" s="217">
        <f>'Itemized Budget 2026-27'!E7</f>
        <v>589307167</v>
      </c>
      <c r="D60" s="217">
        <f>C60*1.1</f>
        <v>648237883.70000005</v>
      </c>
      <c r="E60" s="217">
        <f>D60*1.1</f>
        <v>713061672.07000005</v>
      </c>
    </row>
    <row r="61" spans="1:6" ht="22.05" hidden="1" customHeight="1" outlineLevel="1">
      <c r="A61" s="224" t="s">
        <v>1289</v>
      </c>
      <c r="B61" s="217">
        <v>435177863</v>
      </c>
      <c r="C61" s="217">
        <f>'Itemized Budget 2026-27'!E67-'Itemized Budget 2026-27'!E65-'Itemized Budget 2026-27'!E62-'Itemized Budget 2026-27'!E7</f>
        <v>445386555</v>
      </c>
      <c r="D61" s="217">
        <f t="shared" ref="D61:D62" si="27">C61*1.1</f>
        <v>489925210.50000006</v>
      </c>
      <c r="E61" s="217">
        <f>D61*1.1</f>
        <v>538917731.55000007</v>
      </c>
    </row>
    <row r="62" spans="1:6" ht="22.05" hidden="1" customHeight="1" outlineLevel="1">
      <c r="A62" s="224" t="s">
        <v>1290</v>
      </c>
      <c r="B62" s="217">
        <v>24350000</v>
      </c>
      <c r="C62" s="217">
        <f>'Itemized Budget 2026-27'!E62+'Itemized Budget 2026-27'!E65</f>
        <v>22980000</v>
      </c>
      <c r="D62" s="217">
        <f t="shared" si="27"/>
        <v>25278000.000000004</v>
      </c>
      <c r="E62" s="217">
        <f>D62*1.1</f>
        <v>27805800.000000007</v>
      </c>
    </row>
    <row r="63" spans="1:6" s="201" customFormat="1" ht="22.05" hidden="1" customHeight="1" outlineLevel="1">
      <c r="A63" s="218" t="s">
        <v>1291</v>
      </c>
      <c r="B63" s="215">
        <v>944642676</v>
      </c>
      <c r="C63" s="215">
        <f>SUM(C64:C65)</f>
        <v>899500000</v>
      </c>
      <c r="D63" s="215">
        <f>SUM(D64:D65)</f>
        <v>989450000.00000012</v>
      </c>
      <c r="E63" s="215">
        <f>SUM(E64:E65)</f>
        <v>1088395000.0000002</v>
      </c>
    </row>
    <row r="64" spans="1:6" ht="22.05" hidden="1" customHeight="1" outlineLevel="1">
      <c r="A64" s="224" t="s">
        <v>1299</v>
      </c>
      <c r="B64" s="217">
        <v>944642676</v>
      </c>
      <c r="C64" s="217">
        <f>'Itemized Budget 2026-27'!E77</f>
        <v>899500000</v>
      </c>
      <c r="D64" s="217">
        <f>C64*1.1</f>
        <v>989450000.00000012</v>
      </c>
      <c r="E64" s="217">
        <f>D64*1.1</f>
        <v>1088395000.0000002</v>
      </c>
    </row>
    <row r="65" spans="1:5" ht="22.05" hidden="1" customHeight="1" outlineLevel="1">
      <c r="A65" s="224" t="s">
        <v>1300</v>
      </c>
      <c r="B65" s="217"/>
      <c r="C65" s="217"/>
      <c r="D65" s="217">
        <f>C65*1.0962259996672</f>
        <v>0</v>
      </c>
      <c r="E65" s="217">
        <f>D65*1.1</f>
        <v>0</v>
      </c>
    </row>
    <row r="66" spans="1:5" ht="22.05" hidden="1" customHeight="1" outlineLevel="1">
      <c r="A66" s="218" t="s">
        <v>1301</v>
      </c>
      <c r="B66" s="215">
        <v>1966313706</v>
      </c>
      <c r="C66" s="215">
        <f>C63+C59</f>
        <v>1957173722</v>
      </c>
      <c r="D66" s="215">
        <f>D63+D59</f>
        <v>2152891094.2000003</v>
      </c>
      <c r="E66" s="215">
        <f>E63+E59</f>
        <v>2368180203.6200004</v>
      </c>
    </row>
    <row r="67" spans="1:5" ht="22.05" hidden="1" customHeight="1" outlineLevel="1"/>
    <row r="68" spans="1:5" ht="22.05" hidden="1" customHeight="1" outlineLevel="1"/>
    <row r="69" spans="1:5" s="201" customFormat="1" ht="22.05" hidden="1" customHeight="1" outlineLevel="1">
      <c r="A69" s="221" t="s">
        <v>1265</v>
      </c>
      <c r="B69" s="208"/>
      <c r="C69" s="208"/>
      <c r="D69" s="208"/>
      <c r="E69" s="208"/>
    </row>
    <row r="70" spans="1:5" ht="22.05" hidden="1" customHeight="1" outlineLevel="1">
      <c r="A70" s="221" t="s">
        <v>1264</v>
      </c>
    </row>
    <row r="71" spans="1:5" ht="22.05" hidden="1" customHeight="1" outlineLevel="1">
      <c r="A71" s="210" t="s">
        <v>1287</v>
      </c>
      <c r="B71" s="822" t="s">
        <v>1257</v>
      </c>
      <c r="C71" s="822" t="s">
        <v>1258</v>
      </c>
      <c r="D71" s="824" t="s">
        <v>1259</v>
      </c>
      <c r="E71" s="825"/>
    </row>
    <row r="72" spans="1:5" ht="22.05" hidden="1" customHeight="1" outlineLevel="1">
      <c r="A72" s="211"/>
      <c r="B72" s="823"/>
      <c r="C72" s="823"/>
      <c r="D72" s="788" t="s">
        <v>1260</v>
      </c>
      <c r="E72" s="788" t="s">
        <v>1261</v>
      </c>
    </row>
    <row r="73" spans="1:5" ht="22.05" hidden="1" customHeight="1" outlineLevel="1">
      <c r="A73" s="226" t="s">
        <v>1298</v>
      </c>
      <c r="B73" s="215">
        <v>13679000</v>
      </c>
      <c r="C73" s="215">
        <f>SUM(C74:C76)</f>
        <v>12220000</v>
      </c>
      <c r="D73" s="215">
        <f>SUM(D74:D76)</f>
        <v>13442000.000000002</v>
      </c>
      <c r="E73" s="215">
        <f>SUM(E74:E76)</f>
        <v>14786200.000000004</v>
      </c>
    </row>
    <row r="74" spans="1:5" ht="22.05" hidden="1" customHeight="1" outlineLevel="1">
      <c r="A74" s="224" t="s">
        <v>1288</v>
      </c>
      <c r="D74" s="217">
        <f>C74*1.1</f>
        <v>0</v>
      </c>
      <c r="E74" s="217">
        <f>D74*1.1</f>
        <v>0</v>
      </c>
    </row>
    <row r="75" spans="1:5" ht="22.05" hidden="1" customHeight="1" outlineLevel="1">
      <c r="A75" s="224" t="s">
        <v>1289</v>
      </c>
      <c r="B75" s="217">
        <v>13679000</v>
      </c>
      <c r="C75" s="217">
        <f>'Itemized Budget 2026-27'!E122-'Itemized Budget 2026-27'!E119</f>
        <v>11120000</v>
      </c>
      <c r="D75" s="217">
        <f t="shared" ref="D75:E79" si="28">C75*1.1</f>
        <v>12232000.000000002</v>
      </c>
      <c r="E75" s="217">
        <f>D75*1.1</f>
        <v>13455200.000000004</v>
      </c>
    </row>
    <row r="76" spans="1:5" ht="22.05" hidden="1" customHeight="1" outlineLevel="1">
      <c r="A76" s="224" t="s">
        <v>1290</v>
      </c>
      <c r="B76" s="217">
        <v>0</v>
      </c>
      <c r="C76" s="217">
        <f>'Itemized Budget 2026-27'!E119</f>
        <v>1100000</v>
      </c>
      <c r="D76" s="217">
        <f t="shared" si="28"/>
        <v>1210000</v>
      </c>
      <c r="E76" s="217">
        <f t="shared" si="28"/>
        <v>1331000</v>
      </c>
    </row>
    <row r="77" spans="1:5" ht="22.05" hidden="1" customHeight="1" outlineLevel="1">
      <c r="A77" s="218" t="s">
        <v>1291</v>
      </c>
      <c r="B77" s="215">
        <v>0</v>
      </c>
      <c r="C77" s="215">
        <f>SUM(C78:C79)</f>
        <v>0</v>
      </c>
      <c r="D77" s="215">
        <f t="shared" ref="D77:E77" si="29">SUM(D78:D79)</f>
        <v>0</v>
      </c>
      <c r="E77" s="215">
        <f t="shared" si="29"/>
        <v>0</v>
      </c>
    </row>
    <row r="78" spans="1:5" ht="22.05" hidden="1" customHeight="1" outlineLevel="1">
      <c r="A78" s="224" t="s">
        <v>1299</v>
      </c>
      <c r="B78" s="217">
        <v>0</v>
      </c>
      <c r="C78" s="217">
        <v>0</v>
      </c>
      <c r="D78" s="217">
        <f t="shared" si="28"/>
        <v>0</v>
      </c>
      <c r="E78" s="217">
        <f t="shared" ref="E78:E79" si="30">D78*1.1</f>
        <v>0</v>
      </c>
    </row>
    <row r="79" spans="1:5" ht="22.05" hidden="1" customHeight="1" outlineLevel="1">
      <c r="A79" s="224" t="s">
        <v>1300</v>
      </c>
      <c r="B79" s="217">
        <v>0</v>
      </c>
      <c r="C79" s="217">
        <v>0</v>
      </c>
      <c r="D79" s="217">
        <f t="shared" si="28"/>
        <v>0</v>
      </c>
      <c r="E79" s="217">
        <f t="shared" si="30"/>
        <v>0</v>
      </c>
    </row>
    <row r="80" spans="1:5" s="201" customFormat="1" ht="22.05" hidden="1" customHeight="1" outlineLevel="1">
      <c r="A80" s="218" t="s">
        <v>1301</v>
      </c>
      <c r="B80" s="215">
        <v>13679000</v>
      </c>
      <c r="C80" s="215">
        <f>C77+C73</f>
        <v>12220000</v>
      </c>
      <c r="D80" s="215">
        <f>D77+D73</f>
        <v>13442000.000000002</v>
      </c>
      <c r="E80" s="215">
        <f>E77+E73</f>
        <v>14786200.000000004</v>
      </c>
    </row>
    <row r="81" spans="1:5" ht="22.05" hidden="1" customHeight="1" outlineLevel="1"/>
    <row r="82" spans="1:5" ht="22.05" hidden="1" customHeight="1" outlineLevel="1"/>
    <row r="83" spans="1:5" s="201" customFormat="1" ht="22.05" hidden="1" customHeight="1" outlineLevel="1">
      <c r="A83" s="228" t="s">
        <v>1302</v>
      </c>
      <c r="B83" s="208"/>
      <c r="C83" s="208"/>
      <c r="D83" s="208"/>
      <c r="E83" s="208"/>
    </row>
    <row r="84" spans="1:5" ht="22.05" hidden="1" customHeight="1" outlineLevel="1">
      <c r="A84" s="228" t="s">
        <v>1266</v>
      </c>
    </row>
    <row r="85" spans="1:5" ht="22.05" hidden="1" customHeight="1" outlineLevel="1">
      <c r="A85" s="210" t="s">
        <v>1287</v>
      </c>
      <c r="B85" s="822" t="s">
        <v>1257</v>
      </c>
      <c r="C85" s="822" t="s">
        <v>1258</v>
      </c>
      <c r="D85" s="824" t="s">
        <v>1259</v>
      </c>
      <c r="E85" s="825"/>
    </row>
    <row r="86" spans="1:5" ht="22.05" hidden="1" customHeight="1" outlineLevel="1">
      <c r="A86" s="211"/>
      <c r="B86" s="823"/>
      <c r="C86" s="823"/>
      <c r="D86" s="788" t="s">
        <v>1260</v>
      </c>
      <c r="E86" s="788" t="s">
        <v>1261</v>
      </c>
    </row>
    <row r="87" spans="1:5" ht="22.05" hidden="1" customHeight="1" outlineLevel="1">
      <c r="A87" s="226" t="s">
        <v>1298</v>
      </c>
      <c r="B87" s="215">
        <v>5380000</v>
      </c>
      <c r="C87" s="215">
        <f>SUM(C89:C90)</f>
        <v>15720000</v>
      </c>
      <c r="D87" s="215">
        <f>SUM(D88:D90)</f>
        <v>17292000</v>
      </c>
      <c r="E87" s="215">
        <f>SUM(E88:E90)</f>
        <v>19021200.000000004</v>
      </c>
    </row>
    <row r="88" spans="1:5" ht="22.05" hidden="1" customHeight="1" outlineLevel="1">
      <c r="A88" s="224" t="s">
        <v>1288</v>
      </c>
      <c r="B88" s="215"/>
      <c r="C88" s="233"/>
      <c r="D88" s="217">
        <f t="shared" ref="D88:E93" si="31">C88*1.1</f>
        <v>0</v>
      </c>
      <c r="E88" s="217">
        <f t="shared" si="31"/>
        <v>0</v>
      </c>
    </row>
    <row r="89" spans="1:5" ht="22.05" hidden="1" customHeight="1" outlineLevel="1">
      <c r="A89" s="224" t="s">
        <v>1289</v>
      </c>
      <c r="B89" s="215">
        <v>5270000</v>
      </c>
      <c r="C89" s="206">
        <f>'Itemized Budget 2026-27'!E161-'Itemized Budget 2026-27'!E158</f>
        <v>13420000</v>
      </c>
      <c r="D89" s="217">
        <f t="shared" si="31"/>
        <v>14762000.000000002</v>
      </c>
      <c r="E89" s="217">
        <f t="shared" ref="E89" si="32">D89*1.1</f>
        <v>16238200.000000004</v>
      </c>
    </row>
    <row r="90" spans="1:5" ht="22.05" hidden="1" customHeight="1" outlineLevel="1">
      <c r="A90" s="224" t="s">
        <v>1290</v>
      </c>
      <c r="B90" s="215">
        <v>110000</v>
      </c>
      <c r="C90" s="217">
        <f>'Itemized Budget 2026-27'!E158</f>
        <v>2300000</v>
      </c>
      <c r="D90" s="217">
        <f t="shared" si="31"/>
        <v>2530000</v>
      </c>
      <c r="E90" s="217">
        <f t="shared" ref="E90" si="33">D90*1.1</f>
        <v>2783000</v>
      </c>
    </row>
    <row r="91" spans="1:5" ht="22.05" hidden="1" customHeight="1" outlineLevel="1">
      <c r="A91" s="218" t="s">
        <v>1291</v>
      </c>
      <c r="B91" s="215">
        <v>0</v>
      </c>
      <c r="C91" s="215">
        <f>SUM(C92:C93)</f>
        <v>0</v>
      </c>
      <c r="D91" s="215">
        <f t="shared" ref="D91:E91" si="34">SUM(D92:D93)</f>
        <v>0</v>
      </c>
      <c r="E91" s="215">
        <f t="shared" si="34"/>
        <v>0</v>
      </c>
    </row>
    <row r="92" spans="1:5" ht="22.05" hidden="1" customHeight="1" outlineLevel="1">
      <c r="A92" s="224" t="s">
        <v>1299</v>
      </c>
      <c r="B92" s="215"/>
      <c r="C92" s="217"/>
      <c r="D92" s="217">
        <f t="shared" si="31"/>
        <v>0</v>
      </c>
      <c r="E92" s="217">
        <f t="shared" ref="E92" si="35">D92*1.1</f>
        <v>0</v>
      </c>
    </row>
    <row r="93" spans="1:5" ht="22.05" hidden="1" customHeight="1" outlineLevel="1">
      <c r="A93" s="224" t="s">
        <v>1300</v>
      </c>
      <c r="B93" s="215">
        <v>0</v>
      </c>
      <c r="C93" s="217">
        <v>0</v>
      </c>
      <c r="D93" s="217">
        <f t="shared" si="31"/>
        <v>0</v>
      </c>
      <c r="E93" s="217">
        <f t="shared" ref="E93" si="36">D93*1.1</f>
        <v>0</v>
      </c>
    </row>
    <row r="94" spans="1:5" s="201" customFormat="1" ht="22.05" hidden="1" customHeight="1" outlineLevel="1">
      <c r="A94" s="218" t="s">
        <v>1301</v>
      </c>
      <c r="B94" s="215">
        <v>5380000</v>
      </c>
      <c r="C94" s="215">
        <f>C91+C87</f>
        <v>15720000</v>
      </c>
      <c r="D94" s="215">
        <f>D91+D87</f>
        <v>17292000</v>
      </c>
      <c r="E94" s="215">
        <f>E91+E87</f>
        <v>19021200.000000004</v>
      </c>
    </row>
    <row r="95" spans="1:5" s="201" customFormat="1" ht="22.05" hidden="1" customHeight="1" outlineLevel="1">
      <c r="B95" s="208"/>
      <c r="C95" s="208"/>
      <c r="D95" s="208"/>
      <c r="E95" s="208"/>
    </row>
    <row r="96" spans="1:5" s="201" customFormat="1" ht="22.05" hidden="1" customHeight="1" outlineLevel="1">
      <c r="B96" s="208"/>
      <c r="C96" s="208"/>
      <c r="D96" s="208"/>
      <c r="E96" s="208"/>
    </row>
    <row r="97" spans="1:5" s="201" customFormat="1" ht="22.05" hidden="1" customHeight="1" outlineLevel="1">
      <c r="A97" s="229" t="s">
        <v>1303</v>
      </c>
      <c r="B97" s="797"/>
      <c r="C97" s="208"/>
      <c r="D97" s="208"/>
      <c r="E97" s="208"/>
    </row>
    <row r="98" spans="1:5" ht="22.05" hidden="1" customHeight="1" outlineLevel="1">
      <c r="A98" s="229" t="s">
        <v>1268</v>
      </c>
      <c r="B98" s="797"/>
    </row>
    <row r="99" spans="1:5" ht="22.05" hidden="1" customHeight="1" outlineLevel="1">
      <c r="A99" s="210" t="s">
        <v>1287</v>
      </c>
      <c r="B99" s="822" t="s">
        <v>1257</v>
      </c>
      <c r="C99" s="822" t="s">
        <v>1258</v>
      </c>
      <c r="D99" s="824" t="s">
        <v>1259</v>
      </c>
      <c r="E99" s="825"/>
    </row>
    <row r="100" spans="1:5" s="201" customFormat="1" ht="22.05" hidden="1" customHeight="1" outlineLevel="1">
      <c r="A100" s="211"/>
      <c r="B100" s="823"/>
      <c r="C100" s="823"/>
      <c r="D100" s="788" t="s">
        <v>1260</v>
      </c>
      <c r="E100" s="788" t="s">
        <v>1261</v>
      </c>
    </row>
    <row r="101" spans="1:5" ht="22.05" hidden="1" customHeight="1" outlineLevel="1">
      <c r="A101" s="218" t="s">
        <v>1298</v>
      </c>
      <c r="B101" s="215">
        <v>25000</v>
      </c>
      <c r="C101" s="215">
        <f>SUM(C102:C104)</f>
        <v>0</v>
      </c>
      <c r="D101" s="215">
        <f>SUM(D102:D104)</f>
        <v>0</v>
      </c>
      <c r="E101" s="215">
        <f>SUM(E102:E104)</f>
        <v>0</v>
      </c>
    </row>
    <row r="102" spans="1:5" ht="22.05" hidden="1" customHeight="1" outlineLevel="1">
      <c r="A102" s="224" t="s">
        <v>1288</v>
      </c>
      <c r="B102" s="217"/>
      <c r="C102" s="217"/>
      <c r="D102" s="217">
        <f t="shared" ref="D102:E102" si="37">C102*1.1</f>
        <v>0</v>
      </c>
      <c r="E102" s="217">
        <f t="shared" si="37"/>
        <v>0</v>
      </c>
    </row>
    <row r="103" spans="1:5" ht="22.05" hidden="1" customHeight="1" outlineLevel="1">
      <c r="A103" s="224" t="s">
        <v>1289</v>
      </c>
      <c r="B103" s="217">
        <v>25000</v>
      </c>
      <c r="C103" s="217"/>
      <c r="D103" s="217">
        <f t="shared" ref="D103:E103" si="38">C103*1.1</f>
        <v>0</v>
      </c>
      <c r="E103" s="217">
        <f t="shared" si="38"/>
        <v>0</v>
      </c>
    </row>
    <row r="104" spans="1:5" ht="22.05" hidden="1" customHeight="1" outlineLevel="1">
      <c r="A104" s="224" t="s">
        <v>1290</v>
      </c>
      <c r="B104" s="217">
        <v>0</v>
      </c>
      <c r="C104" s="217"/>
      <c r="D104" s="217">
        <f t="shared" ref="D104:E104" si="39">C104*1.1</f>
        <v>0</v>
      </c>
      <c r="E104" s="217">
        <f t="shared" si="39"/>
        <v>0</v>
      </c>
    </row>
    <row r="105" spans="1:5" ht="22.05" hidden="1" customHeight="1" outlineLevel="1">
      <c r="A105" s="218" t="s">
        <v>1291</v>
      </c>
      <c r="B105" s="215">
        <v>0</v>
      </c>
      <c r="C105" s="215">
        <f>SUM(C106:C107)</f>
        <v>0</v>
      </c>
      <c r="D105" s="215">
        <f t="shared" ref="D105:E105" si="40">SUM(D106:D107)</f>
        <v>0</v>
      </c>
      <c r="E105" s="215">
        <f t="shared" si="40"/>
        <v>0</v>
      </c>
    </row>
    <row r="106" spans="1:5" s="201" customFormat="1" ht="22.05" hidden="1" customHeight="1" outlineLevel="1">
      <c r="A106" s="224" t="s">
        <v>1299</v>
      </c>
      <c r="B106" s="217">
        <v>0</v>
      </c>
      <c r="C106" s="217">
        <v>0</v>
      </c>
      <c r="D106" s="217">
        <f t="shared" ref="D106:E106" si="41">C106*1.1</f>
        <v>0</v>
      </c>
      <c r="E106" s="217">
        <f t="shared" si="41"/>
        <v>0</v>
      </c>
    </row>
    <row r="107" spans="1:5" ht="22.05" hidden="1" customHeight="1" outlineLevel="1">
      <c r="A107" s="224" t="s">
        <v>1300</v>
      </c>
      <c r="B107" s="217">
        <v>0</v>
      </c>
      <c r="C107" s="217">
        <v>0</v>
      </c>
      <c r="D107" s="217">
        <f t="shared" ref="D107:E107" si="42">C107*1.1</f>
        <v>0</v>
      </c>
      <c r="E107" s="217">
        <f t="shared" si="42"/>
        <v>0</v>
      </c>
    </row>
    <row r="108" spans="1:5" s="201" customFormat="1" ht="22.05" hidden="1" customHeight="1" outlineLevel="1">
      <c r="A108" s="218" t="s">
        <v>1301</v>
      </c>
      <c r="B108" s="215">
        <v>25000</v>
      </c>
      <c r="C108" s="215">
        <f>C105+C101</f>
        <v>0</v>
      </c>
      <c r="D108" s="215">
        <f>D105+D101</f>
        <v>0</v>
      </c>
      <c r="E108" s="215">
        <f>E105+E101</f>
        <v>0</v>
      </c>
    </row>
    <row r="109" spans="1:5" s="201" customFormat="1" ht="22.05" hidden="1" customHeight="1" outlineLevel="1">
      <c r="B109" s="208"/>
      <c r="C109" s="208"/>
      <c r="D109" s="208"/>
      <c r="E109" s="208"/>
    </row>
    <row r="110" spans="1:5" s="201" customFormat="1" ht="22.05" hidden="1" customHeight="1" outlineLevel="1">
      <c r="B110" s="208"/>
      <c r="C110" s="208"/>
      <c r="D110" s="208"/>
      <c r="E110" s="208"/>
    </row>
    <row r="111" spans="1:5" s="201" customFormat="1" ht="22.05" hidden="1" customHeight="1" outlineLevel="1">
      <c r="A111" s="230" t="s">
        <v>1270</v>
      </c>
      <c r="B111" s="798"/>
      <c r="C111" s="208"/>
      <c r="D111" s="208"/>
      <c r="E111" s="208"/>
    </row>
    <row r="112" spans="1:5" ht="22.05" hidden="1" customHeight="1" outlineLevel="1">
      <c r="A112" s="210" t="s">
        <v>1287</v>
      </c>
      <c r="B112" s="822" t="s">
        <v>1257</v>
      </c>
      <c r="C112" s="822" t="s">
        <v>1258</v>
      </c>
      <c r="D112" s="824" t="s">
        <v>1259</v>
      </c>
      <c r="E112" s="825"/>
    </row>
    <row r="113" spans="1:5" s="201" customFormat="1" ht="22.05" hidden="1" customHeight="1" outlineLevel="1">
      <c r="A113" s="211"/>
      <c r="B113" s="823"/>
      <c r="C113" s="823"/>
      <c r="D113" s="788" t="s">
        <v>1260</v>
      </c>
      <c r="E113" s="788" t="s">
        <v>1261</v>
      </c>
    </row>
    <row r="114" spans="1:5" ht="22.05" hidden="1" customHeight="1" outlineLevel="1">
      <c r="A114" s="218" t="s">
        <v>1298</v>
      </c>
      <c r="B114" s="215">
        <v>11720000</v>
      </c>
      <c r="C114" s="215">
        <f>SUM(C115:C117)</f>
        <v>10680000</v>
      </c>
      <c r="D114" s="215">
        <f>SUM(D115:D117)</f>
        <v>11748000</v>
      </c>
      <c r="E114" s="215">
        <f>SUM(E115:E117)</f>
        <v>12922800.000000002</v>
      </c>
    </row>
    <row r="115" spans="1:5" ht="22.05" hidden="1" customHeight="1" outlineLevel="1">
      <c r="A115" s="224" t="s">
        <v>1288</v>
      </c>
      <c r="B115" s="217"/>
      <c r="C115" s="217"/>
      <c r="D115" s="217">
        <f t="shared" ref="D115:E115" si="43">C115*1.1</f>
        <v>0</v>
      </c>
      <c r="E115" s="217">
        <f t="shared" si="43"/>
        <v>0</v>
      </c>
    </row>
    <row r="116" spans="1:5" ht="22.05" hidden="1" customHeight="1" outlineLevel="1">
      <c r="A116" s="224" t="s">
        <v>1289</v>
      </c>
      <c r="B116" s="217">
        <v>10920000</v>
      </c>
      <c r="C116" s="217">
        <f>'Itemized Budget 2026-27'!E202-'Itemized Budget 2026-27'!E199</f>
        <v>9720000</v>
      </c>
      <c r="D116" s="217">
        <f t="shared" ref="D116:E116" si="44">C116*1.1</f>
        <v>10692000</v>
      </c>
      <c r="E116" s="217">
        <f t="shared" si="44"/>
        <v>11761200.000000002</v>
      </c>
    </row>
    <row r="117" spans="1:5" ht="22.05" hidden="1" customHeight="1" outlineLevel="1">
      <c r="A117" s="224" t="s">
        <v>1290</v>
      </c>
      <c r="B117" s="217">
        <v>800000</v>
      </c>
      <c r="C117" s="217">
        <f>'Itemized Budget 2026-27'!E199</f>
        <v>960000</v>
      </c>
      <c r="D117" s="217">
        <f t="shared" ref="D117:E117" si="45">C117*1.1</f>
        <v>1056000</v>
      </c>
      <c r="E117" s="217">
        <f t="shared" si="45"/>
        <v>1161600</v>
      </c>
    </row>
    <row r="118" spans="1:5" ht="22.05" hidden="1" customHeight="1" outlineLevel="1">
      <c r="A118" s="218" t="s">
        <v>1291</v>
      </c>
      <c r="B118" s="215">
        <v>0</v>
      </c>
      <c r="C118" s="215">
        <f>SUM(C119:C120)</f>
        <v>0</v>
      </c>
      <c r="D118" s="215">
        <f t="shared" ref="D118:E118" si="46">SUM(D119:D120)</f>
        <v>0</v>
      </c>
      <c r="E118" s="215">
        <f t="shared" si="46"/>
        <v>0</v>
      </c>
    </row>
    <row r="119" spans="1:5" s="201" customFormat="1" ht="22.05" hidden="1" customHeight="1" outlineLevel="1">
      <c r="A119" s="224" t="s">
        <v>1299</v>
      </c>
      <c r="B119" s="217">
        <v>0</v>
      </c>
      <c r="C119" s="217">
        <v>0</v>
      </c>
      <c r="D119" s="217">
        <f t="shared" ref="D119:E119" si="47">C119*1.1</f>
        <v>0</v>
      </c>
      <c r="E119" s="217">
        <f t="shared" si="47"/>
        <v>0</v>
      </c>
    </row>
    <row r="120" spans="1:5" ht="22.05" hidden="1" customHeight="1" outlineLevel="1">
      <c r="A120" s="224" t="s">
        <v>1300</v>
      </c>
      <c r="B120" s="217">
        <v>0</v>
      </c>
      <c r="C120" s="217">
        <v>0</v>
      </c>
      <c r="D120" s="217">
        <f t="shared" ref="D120:E120" si="48">C120*1.1</f>
        <v>0</v>
      </c>
      <c r="E120" s="217">
        <f t="shared" si="48"/>
        <v>0</v>
      </c>
    </row>
    <row r="121" spans="1:5" s="201" customFormat="1" ht="22.05" hidden="1" customHeight="1" outlineLevel="1">
      <c r="A121" s="218" t="s">
        <v>1301</v>
      </c>
      <c r="B121" s="215">
        <v>11720000</v>
      </c>
      <c r="C121" s="215">
        <f>C118+C114</f>
        <v>10680000</v>
      </c>
      <c r="D121" s="215">
        <f>D118+D114</f>
        <v>11748000</v>
      </c>
      <c r="E121" s="215">
        <f>E118+E114</f>
        <v>12922800.000000002</v>
      </c>
    </row>
    <row r="122" spans="1:5" s="201" customFormat="1" ht="22.05" hidden="1" customHeight="1" outlineLevel="1">
      <c r="B122" s="208"/>
      <c r="C122" s="208"/>
      <c r="D122" s="208"/>
      <c r="E122" s="208"/>
    </row>
    <row r="123" spans="1:5" s="201" customFormat="1" ht="22.05" hidden="1" customHeight="1" outlineLevel="1">
      <c r="B123" s="208"/>
      <c r="C123" s="208"/>
      <c r="D123" s="208"/>
      <c r="E123" s="208"/>
    </row>
    <row r="124" spans="1:5" s="201" customFormat="1" ht="22.05" hidden="1" customHeight="1" outlineLevel="1">
      <c r="A124" s="230" t="s">
        <v>1272</v>
      </c>
      <c r="B124" s="798"/>
      <c r="C124" s="206"/>
      <c r="D124" s="206"/>
      <c r="E124" s="206"/>
    </row>
    <row r="125" spans="1:5" s="201" customFormat="1" ht="22.05" hidden="1" customHeight="1" outlineLevel="1">
      <c r="A125" s="210" t="s">
        <v>1287</v>
      </c>
      <c r="B125" s="822" t="s">
        <v>1257</v>
      </c>
      <c r="C125" s="822" t="s">
        <v>1258</v>
      </c>
      <c r="D125" s="824" t="s">
        <v>1259</v>
      </c>
      <c r="E125" s="825"/>
    </row>
    <row r="126" spans="1:5" s="201" customFormat="1" ht="22.05" hidden="1" customHeight="1" outlineLevel="1">
      <c r="A126" s="211"/>
      <c r="B126" s="823"/>
      <c r="C126" s="823"/>
      <c r="D126" s="788" t="s">
        <v>1260</v>
      </c>
      <c r="E126" s="788" t="s">
        <v>1261</v>
      </c>
    </row>
    <row r="127" spans="1:5" s="201" customFormat="1" ht="22.05" hidden="1" customHeight="1" outlineLevel="1">
      <c r="A127" s="218" t="s">
        <v>1298</v>
      </c>
      <c r="B127" s="215">
        <v>8300000</v>
      </c>
      <c r="C127" s="215">
        <f>SUM(C128:C130)</f>
        <v>12480000</v>
      </c>
      <c r="D127" s="215">
        <f>SUM(D128:D130)</f>
        <v>13728000</v>
      </c>
      <c r="E127" s="215">
        <f>SUM(E128:E130)</f>
        <v>15100800.000000002</v>
      </c>
    </row>
    <row r="128" spans="1:5" s="201" customFormat="1" ht="22.05" hidden="1" customHeight="1" outlineLevel="1">
      <c r="A128" s="224" t="s">
        <v>1288</v>
      </c>
      <c r="B128" s="215"/>
      <c r="C128" s="217"/>
      <c r="D128" s="217">
        <f t="shared" ref="D128:E128" si="49">C128*1.1</f>
        <v>0</v>
      </c>
      <c r="E128" s="217">
        <f t="shared" si="49"/>
        <v>0</v>
      </c>
    </row>
    <row r="129" spans="1:5" s="201" customFormat="1" ht="22.05" hidden="1" customHeight="1" outlineLevel="1">
      <c r="A129" s="224" t="s">
        <v>1289</v>
      </c>
      <c r="B129" s="215">
        <v>6600000</v>
      </c>
      <c r="C129" s="217">
        <f>'Itemized Budget 2026-27'!E238-'Itemized Budget 2026-27'!E236</f>
        <v>9980000</v>
      </c>
      <c r="D129" s="217">
        <f t="shared" ref="D129:E129" si="50">C129*1.1</f>
        <v>10978000</v>
      </c>
      <c r="E129" s="217">
        <f t="shared" si="50"/>
        <v>12075800.000000002</v>
      </c>
    </row>
    <row r="130" spans="1:5" s="201" customFormat="1" ht="22.05" hidden="1" customHeight="1" outlineLevel="1">
      <c r="A130" s="224" t="s">
        <v>1290</v>
      </c>
      <c r="B130" s="215">
        <v>1700000</v>
      </c>
      <c r="C130" s="217">
        <f>'Itemized Budget 2026-27'!E236</f>
        <v>2500000</v>
      </c>
      <c r="D130" s="217">
        <f t="shared" ref="D130:E130" si="51">C130*1.1</f>
        <v>2750000</v>
      </c>
      <c r="E130" s="217">
        <f t="shared" si="51"/>
        <v>3025000.0000000005</v>
      </c>
    </row>
    <row r="131" spans="1:5" s="201" customFormat="1" ht="22.05" hidden="1" customHeight="1" outlineLevel="1">
      <c r="A131" s="218" t="s">
        <v>1291</v>
      </c>
      <c r="B131" s="215">
        <v>0</v>
      </c>
      <c r="C131" s="215">
        <f>SUM(C132:C133)</f>
        <v>0</v>
      </c>
      <c r="D131" s="215">
        <f t="shared" ref="D131:E131" si="52">SUM(D132:D133)</f>
        <v>0</v>
      </c>
      <c r="E131" s="215">
        <f t="shared" si="52"/>
        <v>0</v>
      </c>
    </row>
    <row r="132" spans="1:5" s="201" customFormat="1" ht="22.05" hidden="1" customHeight="1" outlineLevel="1">
      <c r="A132" s="224" t="s">
        <v>1299</v>
      </c>
      <c r="B132" s="215">
        <v>0</v>
      </c>
      <c r="C132" s="217">
        <v>0</v>
      </c>
      <c r="D132" s="217">
        <f t="shared" ref="D132:E132" si="53">C132*1.1</f>
        <v>0</v>
      </c>
      <c r="E132" s="217">
        <f t="shared" si="53"/>
        <v>0</v>
      </c>
    </row>
    <row r="133" spans="1:5" s="201" customFormat="1" ht="22.05" hidden="1" customHeight="1" outlineLevel="1">
      <c r="A133" s="224" t="s">
        <v>1300</v>
      </c>
      <c r="B133" s="215">
        <v>0</v>
      </c>
      <c r="C133" s="217">
        <v>0</v>
      </c>
      <c r="D133" s="217">
        <f t="shared" ref="D133:E133" si="54">C133*1.1</f>
        <v>0</v>
      </c>
      <c r="E133" s="217">
        <f t="shared" si="54"/>
        <v>0</v>
      </c>
    </row>
    <row r="134" spans="1:5" s="201" customFormat="1" ht="22.05" hidden="1" customHeight="1" outlineLevel="1">
      <c r="A134" s="218" t="s">
        <v>1301</v>
      </c>
      <c r="B134" s="215">
        <v>8300000</v>
      </c>
      <c r="C134" s="215">
        <f>C127+C131</f>
        <v>12480000</v>
      </c>
      <c r="D134" s="215">
        <f>D127+D131</f>
        <v>13728000</v>
      </c>
      <c r="E134" s="215">
        <f>E127+E131</f>
        <v>15100800.000000002</v>
      </c>
    </row>
    <row r="135" spans="1:5" s="201" customFormat="1" ht="22.05" hidden="1" customHeight="1" outlineLevel="1">
      <c r="A135" s="211"/>
      <c r="B135" s="231"/>
      <c r="C135" s="231"/>
      <c r="D135" s="208"/>
      <c r="E135" s="208"/>
    </row>
    <row r="136" spans="1:5" s="201" customFormat="1" ht="22.05" hidden="1" customHeight="1" outlineLevel="1">
      <c r="A136" s="211"/>
      <c r="B136" s="231"/>
      <c r="C136" s="231"/>
      <c r="D136" s="208"/>
      <c r="E136" s="208"/>
    </row>
    <row r="137" spans="1:5" ht="22.05" hidden="1" customHeight="1" outlineLevel="1">
      <c r="A137" s="221" t="s">
        <v>1304</v>
      </c>
      <c r="B137" s="231"/>
      <c r="C137" s="231"/>
      <c r="D137" s="208"/>
      <c r="E137" s="208"/>
    </row>
    <row r="138" spans="1:5" s="201" customFormat="1" ht="22.05" hidden="1" customHeight="1" outlineLevel="1">
      <c r="A138" s="221" t="s">
        <v>1305</v>
      </c>
      <c r="B138" s="215"/>
      <c r="C138" s="215"/>
      <c r="D138" s="206"/>
      <c r="E138" s="206"/>
    </row>
    <row r="139" spans="1:5" s="201" customFormat="1" ht="22.05" hidden="1" customHeight="1" outlineLevel="1">
      <c r="A139" s="210" t="s">
        <v>1287</v>
      </c>
      <c r="B139" s="822" t="s">
        <v>1257</v>
      </c>
      <c r="C139" s="822" t="s">
        <v>1258</v>
      </c>
      <c r="D139" s="824" t="s">
        <v>1259</v>
      </c>
      <c r="E139" s="825"/>
    </row>
    <row r="140" spans="1:5" ht="22.05" hidden="1" customHeight="1" outlineLevel="1">
      <c r="A140" s="211"/>
      <c r="B140" s="823"/>
      <c r="C140" s="823"/>
      <c r="D140" s="788" t="s">
        <v>1260</v>
      </c>
      <c r="E140" s="788" t="s">
        <v>1261</v>
      </c>
    </row>
    <row r="141" spans="1:5" s="201" customFormat="1" ht="22.05" hidden="1" customHeight="1" outlineLevel="1">
      <c r="A141" s="218" t="s">
        <v>1298</v>
      </c>
      <c r="B141" s="215">
        <v>23021500</v>
      </c>
      <c r="C141" s="215">
        <f>SUM(C142:C144)</f>
        <v>37370999.908252716</v>
      </c>
      <c r="D141" s="215">
        <f>SUM(D142:D144)</f>
        <v>41108099.899077997</v>
      </c>
      <c r="E141" s="215">
        <f>SUM(E142:E144)</f>
        <v>45218909.888985798</v>
      </c>
    </row>
    <row r="142" spans="1:5" ht="22.05" hidden="1" customHeight="1" outlineLevel="1">
      <c r="A142" s="224" t="s">
        <v>1288</v>
      </c>
      <c r="B142" s="215"/>
      <c r="D142" s="217">
        <f t="shared" ref="D142:E142" si="55">C142*1.1</f>
        <v>0</v>
      </c>
      <c r="E142" s="217">
        <f t="shared" si="55"/>
        <v>0</v>
      </c>
    </row>
    <row r="143" spans="1:5" ht="22.05" hidden="1" customHeight="1" outlineLevel="1">
      <c r="A143" s="224" t="s">
        <v>1289</v>
      </c>
      <c r="B143" s="215">
        <v>21521500</v>
      </c>
      <c r="C143" s="217">
        <f>'Itemized Budget 2026-27'!E290-'Itemized Budget 2026-27'!E287-'Itemized Budget 2026-27'!E285</f>
        <v>15870999.908252716</v>
      </c>
      <c r="D143" s="217">
        <f t="shared" ref="D143:E143" si="56">C143*1.1</f>
        <v>17458099.899077989</v>
      </c>
      <c r="E143" s="217">
        <f t="shared" si="56"/>
        <v>19203909.88898579</v>
      </c>
    </row>
    <row r="144" spans="1:5" ht="22.05" hidden="1" customHeight="1" outlineLevel="1">
      <c r="A144" s="224" t="s">
        <v>1290</v>
      </c>
      <c r="B144" s="215">
        <v>1500000</v>
      </c>
      <c r="C144" s="217">
        <f>'Itemized Budget 2026-27'!E287+'Itemized Budget 2026-27'!E285</f>
        <v>21500000</v>
      </c>
      <c r="D144" s="217">
        <f t="shared" ref="D144:E144" si="57">C144*1.1</f>
        <v>23650000.000000004</v>
      </c>
      <c r="E144" s="217">
        <f t="shared" si="57"/>
        <v>26015000.000000007</v>
      </c>
    </row>
    <row r="145" spans="1:5" s="201" customFormat="1" ht="22.05" hidden="1" customHeight="1" outlineLevel="1">
      <c r="A145" s="218" t="s">
        <v>1291</v>
      </c>
      <c r="B145" s="215">
        <v>0</v>
      </c>
      <c r="C145" s="215">
        <f>SUM(C146:C147)</f>
        <v>0</v>
      </c>
      <c r="D145" s="215">
        <f t="shared" ref="D145:E145" si="58">SUM(D146:D147)</f>
        <v>0</v>
      </c>
      <c r="E145" s="215">
        <f t="shared" si="58"/>
        <v>0</v>
      </c>
    </row>
    <row r="146" spans="1:5" ht="22.05" hidden="1" customHeight="1" outlineLevel="1">
      <c r="A146" s="224" t="s">
        <v>1299</v>
      </c>
      <c r="B146" s="215"/>
      <c r="C146" s="217"/>
      <c r="D146" s="217">
        <f t="shared" ref="D146:E146" si="59">C146*1.1</f>
        <v>0</v>
      </c>
      <c r="E146" s="217">
        <f t="shared" si="59"/>
        <v>0</v>
      </c>
    </row>
    <row r="147" spans="1:5" ht="22.05" hidden="1" customHeight="1" outlineLevel="1">
      <c r="A147" s="224" t="s">
        <v>1300</v>
      </c>
      <c r="B147" s="215">
        <v>0</v>
      </c>
      <c r="C147" s="217">
        <v>0</v>
      </c>
      <c r="D147" s="217">
        <f t="shared" ref="D147:E147" si="60">C147*1.1</f>
        <v>0</v>
      </c>
      <c r="E147" s="217">
        <f t="shared" si="60"/>
        <v>0</v>
      </c>
    </row>
    <row r="148" spans="1:5" s="201" customFormat="1" ht="22.05" hidden="1" customHeight="1" outlineLevel="1">
      <c r="A148" s="218" t="s">
        <v>1301</v>
      </c>
      <c r="B148" s="215">
        <v>23021500</v>
      </c>
      <c r="C148" s="215">
        <f>C145+C141</f>
        <v>37370999.908252716</v>
      </c>
      <c r="D148" s="215">
        <f>D145+D141</f>
        <v>41108099.899077997</v>
      </c>
      <c r="E148" s="215">
        <f>E145+E141</f>
        <v>45218909.888985798</v>
      </c>
    </row>
    <row r="149" spans="1:5" s="201" customFormat="1" ht="22.05" hidden="1" customHeight="1" outlineLevel="1">
      <c r="B149" s="208"/>
      <c r="C149" s="208"/>
      <c r="D149" s="208"/>
      <c r="E149" s="208"/>
    </row>
    <row r="150" spans="1:5" s="201" customFormat="1" ht="22.05" hidden="1" customHeight="1" outlineLevel="1">
      <c r="A150" s="218"/>
      <c r="B150" s="208"/>
      <c r="C150" s="208"/>
      <c r="D150" s="208"/>
      <c r="E150" s="208"/>
    </row>
    <row r="151" spans="1:5" s="201" customFormat="1" ht="22.05" hidden="1" customHeight="1" outlineLevel="1">
      <c r="A151" s="221" t="s">
        <v>1306</v>
      </c>
      <c r="B151" s="208"/>
      <c r="C151" s="208"/>
      <c r="D151" s="208"/>
      <c r="E151" s="208"/>
    </row>
    <row r="152" spans="1:5" s="201" customFormat="1" ht="22.05" hidden="1" customHeight="1" outlineLevel="1">
      <c r="A152" s="221" t="s">
        <v>1275</v>
      </c>
      <c r="B152" s="206"/>
      <c r="C152" s="206"/>
      <c r="D152" s="206"/>
      <c r="E152" s="206"/>
    </row>
    <row r="153" spans="1:5" s="201" customFormat="1" ht="22.05" hidden="1" customHeight="1" outlineLevel="1">
      <c r="A153" s="210" t="s">
        <v>1287</v>
      </c>
      <c r="B153" s="822" t="s">
        <v>1257</v>
      </c>
      <c r="C153" s="822" t="s">
        <v>1258</v>
      </c>
      <c r="D153" s="824" t="s">
        <v>1259</v>
      </c>
      <c r="E153" s="825"/>
    </row>
    <row r="154" spans="1:5" s="201" customFormat="1" ht="22.05" hidden="1" customHeight="1" outlineLevel="1">
      <c r="A154" s="211"/>
      <c r="B154" s="823"/>
      <c r="C154" s="823"/>
      <c r="D154" s="788" t="s">
        <v>1260</v>
      </c>
      <c r="E154" s="788" t="s">
        <v>1261</v>
      </c>
    </row>
    <row r="155" spans="1:5" s="201" customFormat="1" ht="22.05" hidden="1" customHeight="1" outlineLevel="1">
      <c r="A155" s="218" t="s">
        <v>1298</v>
      </c>
      <c r="B155" s="215">
        <v>14857070.2299302</v>
      </c>
      <c r="C155" s="215">
        <f>SUM(C156:C158)</f>
        <v>27700000</v>
      </c>
      <c r="D155" s="215">
        <f>SUM(D156:D158)</f>
        <v>30470000.000000004</v>
      </c>
      <c r="E155" s="215">
        <f>SUM(E156:E158)</f>
        <v>33517000.000000007</v>
      </c>
    </row>
    <row r="156" spans="1:5" s="201" customFormat="1" ht="22.05" hidden="1" customHeight="1" outlineLevel="1">
      <c r="A156" s="224" t="s">
        <v>1288</v>
      </c>
      <c r="B156" s="206"/>
      <c r="C156" s="217"/>
      <c r="D156" s="217">
        <f t="shared" ref="D156:E156" si="61">C156*1.1</f>
        <v>0</v>
      </c>
      <c r="E156" s="217">
        <f t="shared" si="61"/>
        <v>0</v>
      </c>
    </row>
    <row r="157" spans="1:5" s="201" customFormat="1" ht="22.05" hidden="1" customHeight="1" outlineLevel="1">
      <c r="A157" s="224" t="s">
        <v>1289</v>
      </c>
      <c r="B157" s="217">
        <v>14157070.2299302</v>
      </c>
      <c r="C157" s="217">
        <f>'Itemized Budget 2026-27'!E328-'Itemized Budget 2026-27'!E324</f>
        <v>19334899</v>
      </c>
      <c r="D157" s="217">
        <f t="shared" ref="D157:E157" si="62">C157*1.1</f>
        <v>21268388.900000002</v>
      </c>
      <c r="E157" s="217">
        <f t="shared" si="62"/>
        <v>23395227.790000003</v>
      </c>
    </row>
    <row r="158" spans="1:5" s="201" customFormat="1" ht="22.05" hidden="1" customHeight="1" outlineLevel="1">
      <c r="A158" s="224" t="s">
        <v>1290</v>
      </c>
      <c r="B158" s="217">
        <v>700000</v>
      </c>
      <c r="C158" s="217">
        <f>'Itemized Budget 2026-27'!E324</f>
        <v>8365101</v>
      </c>
      <c r="D158" s="217">
        <f t="shared" ref="D158:E158" si="63">C158*1.1</f>
        <v>9201611.1000000015</v>
      </c>
      <c r="E158" s="217">
        <f t="shared" si="63"/>
        <v>10121772.210000003</v>
      </c>
    </row>
    <row r="159" spans="1:5" s="201" customFormat="1" ht="22.05" hidden="1" customHeight="1" outlineLevel="1">
      <c r="A159" s="218" t="s">
        <v>1291</v>
      </c>
      <c r="B159" s="215">
        <v>0</v>
      </c>
      <c r="C159" s="215">
        <f>SUM(C160:C161)</f>
        <v>0</v>
      </c>
      <c r="D159" s="215">
        <f t="shared" ref="D159:E159" si="64">SUM(D160:D161)</f>
        <v>0</v>
      </c>
      <c r="E159" s="215">
        <f t="shared" si="64"/>
        <v>0</v>
      </c>
    </row>
    <row r="160" spans="1:5" s="201" customFormat="1" ht="22.05" hidden="1" customHeight="1" outlineLevel="1">
      <c r="A160" s="224" t="s">
        <v>1299</v>
      </c>
      <c r="B160" s="217">
        <v>0</v>
      </c>
      <c r="C160" s="217">
        <v>0</v>
      </c>
      <c r="D160" s="217">
        <f t="shared" ref="D160:E160" si="65">C160*1.1</f>
        <v>0</v>
      </c>
      <c r="E160" s="217">
        <f t="shared" si="65"/>
        <v>0</v>
      </c>
    </row>
    <row r="161" spans="1:5" s="201" customFormat="1" ht="22.05" hidden="1" customHeight="1" outlineLevel="1">
      <c r="A161" s="224" t="s">
        <v>1300</v>
      </c>
      <c r="B161" s="217">
        <v>0</v>
      </c>
      <c r="C161" s="217">
        <v>0</v>
      </c>
      <c r="D161" s="217">
        <f t="shared" ref="D161:E161" si="66">C161*1.1</f>
        <v>0</v>
      </c>
      <c r="E161" s="217">
        <f t="shared" si="66"/>
        <v>0</v>
      </c>
    </row>
    <row r="162" spans="1:5" s="201" customFormat="1" ht="22.05" hidden="1" customHeight="1" outlineLevel="1">
      <c r="A162" s="218" t="s">
        <v>1301</v>
      </c>
      <c r="B162" s="215">
        <v>14857070.2299302</v>
      </c>
      <c r="C162" s="215">
        <f>C155+C159</f>
        <v>27700000</v>
      </c>
      <c r="D162" s="215">
        <f>D155+D159</f>
        <v>30470000.000000004</v>
      </c>
      <c r="E162" s="215">
        <f>E155+E159</f>
        <v>33517000.000000007</v>
      </c>
    </row>
    <row r="163" spans="1:5" s="201" customFormat="1" ht="22.05" hidden="1" customHeight="1" outlineLevel="1">
      <c r="A163" s="218"/>
      <c r="B163" s="208"/>
      <c r="C163" s="208"/>
      <c r="D163" s="208"/>
      <c r="E163" s="208"/>
    </row>
    <row r="164" spans="1:5" s="201" customFormat="1" ht="22.05" hidden="1" customHeight="1" outlineLevel="1">
      <c r="A164" s="218"/>
      <c r="B164" s="208"/>
      <c r="C164" s="208"/>
      <c r="D164" s="208"/>
      <c r="E164" s="208"/>
    </row>
    <row r="165" spans="1:5" s="201" customFormat="1" ht="22.05" hidden="1" customHeight="1" outlineLevel="1">
      <c r="A165" s="221" t="s">
        <v>126</v>
      </c>
      <c r="B165" s="208"/>
      <c r="C165" s="208"/>
      <c r="D165" s="208"/>
      <c r="E165" s="208"/>
    </row>
    <row r="166" spans="1:5" s="201" customFormat="1" ht="22.05" hidden="1" customHeight="1" outlineLevel="1">
      <c r="A166" s="221" t="s">
        <v>127</v>
      </c>
      <c r="B166" s="206"/>
      <c r="C166" s="206"/>
      <c r="D166" s="206"/>
      <c r="E166" s="206"/>
    </row>
    <row r="167" spans="1:5" s="201" customFormat="1" ht="22.05" hidden="1" customHeight="1" outlineLevel="1">
      <c r="A167" s="210" t="s">
        <v>1287</v>
      </c>
      <c r="B167" s="822" t="s">
        <v>1257</v>
      </c>
      <c r="C167" s="822" t="s">
        <v>1258</v>
      </c>
      <c r="D167" s="824" t="s">
        <v>1259</v>
      </c>
      <c r="E167" s="825"/>
    </row>
    <row r="168" spans="1:5" s="201" customFormat="1" ht="22.05" hidden="1" customHeight="1" outlineLevel="1">
      <c r="A168" s="211"/>
      <c r="B168" s="823"/>
      <c r="C168" s="823"/>
      <c r="D168" s="788" t="s">
        <v>1260</v>
      </c>
      <c r="E168" s="788" t="s">
        <v>1261</v>
      </c>
    </row>
    <row r="169" spans="1:5" s="201" customFormat="1" ht="22.05" hidden="1" customHeight="1" outlineLevel="1">
      <c r="A169" s="218" t="s">
        <v>1298</v>
      </c>
      <c r="B169" s="215">
        <v>14009049.6746438</v>
      </c>
      <c r="C169" s="215">
        <f>SUM(C170:C172)</f>
        <v>13165000</v>
      </c>
      <c r="D169" s="215">
        <f>SUM(D170:D172)</f>
        <v>14481500.000000002</v>
      </c>
      <c r="E169" s="215">
        <f>SUM(E170:E172)</f>
        <v>15929650.000000004</v>
      </c>
    </row>
    <row r="170" spans="1:5" s="201" customFormat="1" ht="22.05" hidden="1" customHeight="1" outlineLevel="1">
      <c r="A170" s="224" t="s">
        <v>1288</v>
      </c>
      <c r="B170" s="217"/>
      <c r="C170" s="217"/>
      <c r="D170" s="217">
        <f t="shared" ref="D170:E170" si="67">C170*1.1</f>
        <v>0</v>
      </c>
      <c r="E170" s="217">
        <f t="shared" si="67"/>
        <v>0</v>
      </c>
    </row>
    <row r="171" spans="1:5" s="201" customFormat="1" ht="22.05" hidden="1" customHeight="1" outlineLevel="1">
      <c r="A171" s="224" t="s">
        <v>1289</v>
      </c>
      <c r="B171" s="217">
        <v>11864049.6746438</v>
      </c>
      <c r="C171" s="217">
        <f>'Itemized Budget 2026-27'!E389-'Itemized Budget 2026-27'!E386-'Itemized Budget 2026-27'!E384</f>
        <v>11436000</v>
      </c>
      <c r="D171" s="217">
        <f t="shared" ref="D171:E171" si="68">C171*1.1</f>
        <v>12579600.000000002</v>
      </c>
      <c r="E171" s="217">
        <f t="shared" si="68"/>
        <v>13837560.000000004</v>
      </c>
    </row>
    <row r="172" spans="1:5" s="201" customFormat="1" ht="22.05" hidden="1" customHeight="1" outlineLevel="1">
      <c r="A172" s="224" t="s">
        <v>1290</v>
      </c>
      <c r="B172" s="217">
        <v>2145000</v>
      </c>
      <c r="C172" s="217">
        <f>'Itemized Budget 2026-27'!E386+'Itemized Budget 2026-27'!E384</f>
        <v>1729000</v>
      </c>
      <c r="D172" s="217">
        <f t="shared" ref="D172:E172" si="69">C172*1.1</f>
        <v>1901900.0000000002</v>
      </c>
      <c r="E172" s="217">
        <f t="shared" si="69"/>
        <v>2092090.0000000005</v>
      </c>
    </row>
    <row r="173" spans="1:5" s="201" customFormat="1" ht="22.05" hidden="1" customHeight="1" outlineLevel="1">
      <c r="A173" s="218" t="s">
        <v>1291</v>
      </c>
      <c r="B173" s="215">
        <v>0</v>
      </c>
      <c r="C173" s="215">
        <f>SUM(C174:C175)</f>
        <v>0</v>
      </c>
      <c r="D173" s="215">
        <f t="shared" ref="D173:E173" si="70">SUM(D174:D175)</f>
        <v>0</v>
      </c>
      <c r="E173" s="215">
        <f t="shared" si="70"/>
        <v>0</v>
      </c>
    </row>
    <row r="174" spans="1:5" s="201" customFormat="1" ht="22.05" hidden="1" customHeight="1" outlineLevel="1">
      <c r="A174" s="224" t="s">
        <v>1299</v>
      </c>
      <c r="B174" s="217">
        <v>0</v>
      </c>
      <c r="C174" s="217">
        <v>0</v>
      </c>
      <c r="D174" s="217">
        <f t="shared" ref="D174:E174" si="71">C174*1.1</f>
        <v>0</v>
      </c>
      <c r="E174" s="217">
        <f t="shared" si="71"/>
        <v>0</v>
      </c>
    </row>
    <row r="175" spans="1:5" s="201" customFormat="1" ht="22.05" hidden="1" customHeight="1" outlineLevel="1">
      <c r="A175" s="224" t="s">
        <v>1300</v>
      </c>
      <c r="B175" s="217">
        <v>0</v>
      </c>
      <c r="C175" s="217">
        <v>0</v>
      </c>
      <c r="D175" s="217">
        <f t="shared" ref="D175:E175" si="72">C175*1.1</f>
        <v>0</v>
      </c>
      <c r="E175" s="217">
        <f t="shared" si="72"/>
        <v>0</v>
      </c>
    </row>
    <row r="176" spans="1:5" s="201" customFormat="1" ht="22.05" hidden="1" customHeight="1" outlineLevel="1">
      <c r="A176" s="218" t="s">
        <v>1301</v>
      </c>
      <c r="B176" s="215">
        <v>14009049.6746438</v>
      </c>
      <c r="C176" s="215">
        <f>C169+C173</f>
        <v>13165000</v>
      </c>
      <c r="D176" s="215">
        <f>D169+D173</f>
        <v>14481500.000000002</v>
      </c>
      <c r="E176" s="215">
        <f>E169+E173</f>
        <v>15929650.000000004</v>
      </c>
    </row>
    <row r="177" spans="1:5" s="201" customFormat="1" ht="22.05" hidden="1" customHeight="1" outlineLevel="1">
      <c r="B177" s="208"/>
      <c r="C177" s="208"/>
      <c r="D177" s="208"/>
      <c r="E177" s="208"/>
    </row>
    <row r="178" spans="1:5" s="201" customFormat="1" ht="22.05" hidden="1" customHeight="1" outlineLevel="1">
      <c r="B178" s="208"/>
      <c r="C178" s="208"/>
      <c r="D178" s="208"/>
      <c r="E178" s="208"/>
    </row>
    <row r="179" spans="1:5" ht="22.05" hidden="1" customHeight="1" outlineLevel="1">
      <c r="A179" s="221" t="s">
        <v>136</v>
      </c>
      <c r="B179" s="208"/>
      <c r="C179" s="208"/>
    </row>
    <row r="180" spans="1:5" ht="22.05" hidden="1" customHeight="1" outlineLevel="1">
      <c r="A180" s="221" t="s">
        <v>136</v>
      </c>
    </row>
    <row r="181" spans="1:5" s="201" customFormat="1" ht="22.05" hidden="1" customHeight="1" outlineLevel="1">
      <c r="A181" s="210" t="s">
        <v>1287</v>
      </c>
      <c r="B181" s="822" t="s">
        <v>1257</v>
      </c>
      <c r="C181" s="822" t="s">
        <v>1258</v>
      </c>
      <c r="D181" s="824" t="s">
        <v>1259</v>
      </c>
      <c r="E181" s="825"/>
    </row>
    <row r="182" spans="1:5" ht="22.05" hidden="1" customHeight="1" outlineLevel="1">
      <c r="A182" s="211"/>
      <c r="B182" s="823"/>
      <c r="C182" s="823"/>
      <c r="D182" s="788" t="s">
        <v>1260</v>
      </c>
      <c r="E182" s="788" t="s">
        <v>1261</v>
      </c>
    </row>
    <row r="183" spans="1:5" ht="22.05" hidden="1" customHeight="1" outlineLevel="1">
      <c r="A183" s="218" t="s">
        <v>1298</v>
      </c>
      <c r="B183" s="215">
        <v>7354950</v>
      </c>
      <c r="C183" s="215">
        <f>SUM(C184:C186)</f>
        <v>8849100</v>
      </c>
      <c r="D183" s="215">
        <f>SUM(D184:D186)</f>
        <v>9734010.0000000019</v>
      </c>
      <c r="E183" s="215">
        <f>SUM(E184:E186)</f>
        <v>10707411.000000002</v>
      </c>
    </row>
    <row r="184" spans="1:5" ht="22.05" hidden="1" customHeight="1" outlineLevel="1">
      <c r="A184" s="224" t="s">
        <v>1288</v>
      </c>
      <c r="B184" s="217"/>
      <c r="C184" s="217"/>
      <c r="D184" s="217">
        <f t="shared" ref="D184:E184" si="73">C184*1.1</f>
        <v>0</v>
      </c>
      <c r="E184" s="217">
        <f t="shared" si="73"/>
        <v>0</v>
      </c>
    </row>
    <row r="185" spans="1:5" ht="22.05" hidden="1" customHeight="1" outlineLevel="1">
      <c r="A185" s="224" t="s">
        <v>1289</v>
      </c>
      <c r="B185" s="217">
        <v>6496950</v>
      </c>
      <c r="C185" s="217">
        <f>'Itemized Budget 2026-27'!E442-'Itemized Budget 2026-27'!E439-'Itemized Budget 2026-27'!E437</f>
        <v>7341100</v>
      </c>
      <c r="D185" s="217">
        <f t="shared" ref="D185:E185" si="74">C185*1.1</f>
        <v>8075210.0000000009</v>
      </c>
      <c r="E185" s="217">
        <f t="shared" si="74"/>
        <v>8882731.0000000019</v>
      </c>
    </row>
    <row r="186" spans="1:5" ht="22.05" hidden="1" customHeight="1" outlineLevel="1">
      <c r="A186" s="224" t="s">
        <v>1290</v>
      </c>
      <c r="B186" s="217">
        <v>858000</v>
      </c>
      <c r="C186" s="217">
        <f>'Itemized Budget 2026-27'!E439+'Itemized Budget 2026-27'!E437</f>
        <v>1508000</v>
      </c>
      <c r="D186" s="217">
        <f t="shared" ref="D186:E186" si="75">C186*1.1</f>
        <v>1658800.0000000002</v>
      </c>
      <c r="E186" s="217">
        <f t="shared" si="75"/>
        <v>1824680.0000000005</v>
      </c>
    </row>
    <row r="187" spans="1:5" s="201" customFormat="1" ht="22.05" hidden="1" customHeight="1" outlineLevel="1">
      <c r="A187" s="218" t="s">
        <v>1291</v>
      </c>
      <c r="B187" s="215">
        <v>0</v>
      </c>
      <c r="C187" s="215">
        <f>SUM(C188:C189)</f>
        <v>0</v>
      </c>
      <c r="D187" s="215">
        <f t="shared" ref="D187:E187" si="76">SUM(D188:D189)</f>
        <v>0</v>
      </c>
      <c r="E187" s="215">
        <f t="shared" si="76"/>
        <v>0</v>
      </c>
    </row>
    <row r="188" spans="1:5" ht="22.05" hidden="1" customHeight="1" outlineLevel="1">
      <c r="A188" s="224" t="s">
        <v>1299</v>
      </c>
      <c r="B188" s="217"/>
      <c r="C188" s="217"/>
      <c r="D188" s="217">
        <f t="shared" ref="D188:E188" si="77">C188*1.1</f>
        <v>0</v>
      </c>
      <c r="E188" s="217">
        <f t="shared" si="77"/>
        <v>0</v>
      </c>
    </row>
    <row r="189" spans="1:5" ht="22.05" hidden="1" customHeight="1" outlineLevel="1">
      <c r="A189" s="224" t="s">
        <v>1300</v>
      </c>
      <c r="B189" s="217">
        <v>0</v>
      </c>
      <c r="C189" s="217">
        <v>0</v>
      </c>
      <c r="D189" s="217">
        <f t="shared" ref="D189:E189" si="78">C189*1.1</f>
        <v>0</v>
      </c>
      <c r="E189" s="217">
        <f t="shared" si="78"/>
        <v>0</v>
      </c>
    </row>
    <row r="190" spans="1:5" ht="22.05" hidden="1" customHeight="1" outlineLevel="1">
      <c r="A190" s="218" t="s">
        <v>1301</v>
      </c>
      <c r="B190" s="215">
        <v>7354950</v>
      </c>
      <c r="C190" s="215">
        <f>C183+C187</f>
        <v>8849100</v>
      </c>
      <c r="D190" s="215">
        <f>D183+D187</f>
        <v>9734010.0000000019</v>
      </c>
      <c r="E190" s="215">
        <f>E183+E187</f>
        <v>10707411.000000002</v>
      </c>
    </row>
    <row r="191" spans="1:5" ht="22.05" hidden="1" customHeight="1" outlineLevel="1"/>
    <row r="192" spans="1:5" s="201" customFormat="1" ht="22.05" hidden="1" customHeight="1" outlineLevel="1">
      <c r="B192" s="208"/>
      <c r="C192" s="208"/>
      <c r="D192" s="208"/>
      <c r="E192" s="208"/>
    </row>
    <row r="193" spans="1:5" ht="22.05" hidden="1" customHeight="1" outlineLevel="1">
      <c r="A193" s="218" t="s">
        <v>137</v>
      </c>
    </row>
    <row r="194" spans="1:5" ht="22.05" hidden="1" customHeight="1" outlineLevel="1">
      <c r="A194" s="218" t="s">
        <v>137</v>
      </c>
    </row>
    <row r="195" spans="1:5" ht="37.049999999999997" hidden="1" customHeight="1" outlineLevel="1">
      <c r="A195" s="210" t="s">
        <v>1287</v>
      </c>
      <c r="B195" s="822" t="s">
        <v>1257</v>
      </c>
      <c r="C195" s="822" t="s">
        <v>1258</v>
      </c>
      <c r="D195" s="824" t="s">
        <v>1259</v>
      </c>
      <c r="E195" s="825"/>
    </row>
    <row r="196" spans="1:5" s="201" customFormat="1" ht="22.05" hidden="1" customHeight="1" outlineLevel="1">
      <c r="A196" s="211"/>
      <c r="B196" s="823"/>
      <c r="C196" s="823"/>
      <c r="D196" s="788" t="s">
        <v>1260</v>
      </c>
      <c r="E196" s="788" t="s">
        <v>1261</v>
      </c>
    </row>
    <row r="197" spans="1:5" ht="22.05" hidden="1" customHeight="1" outlineLevel="1">
      <c r="A197" s="218" t="s">
        <v>1298</v>
      </c>
      <c r="B197" s="215">
        <v>47657500</v>
      </c>
      <c r="C197" s="215">
        <f>SUM(C198:C200)</f>
        <v>53793360</v>
      </c>
      <c r="D197" s="215">
        <f>SUM(D198:D200)</f>
        <v>59172696.000000007</v>
      </c>
      <c r="E197" s="215">
        <f>SUM(E198:E200)</f>
        <v>65089965.600000016</v>
      </c>
    </row>
    <row r="198" spans="1:5" ht="22.05" hidden="1" customHeight="1" outlineLevel="1">
      <c r="A198" s="224" t="s">
        <v>1288</v>
      </c>
      <c r="B198" s="215"/>
      <c r="C198" s="217"/>
      <c r="D198" s="217">
        <f t="shared" ref="D198:E198" si="79">C198*1.1</f>
        <v>0</v>
      </c>
      <c r="E198" s="217">
        <f t="shared" si="79"/>
        <v>0</v>
      </c>
    </row>
    <row r="199" spans="1:5" ht="22.05" hidden="1" customHeight="1" outlineLevel="1">
      <c r="A199" s="224" t="s">
        <v>1289</v>
      </c>
      <c r="B199" s="215">
        <v>46397500</v>
      </c>
      <c r="C199" s="217">
        <f>'Itemized Budget 2026-27'!E498-'Itemized Budget 2026-27'!E495-'Itemized Budget 2026-27'!E493</f>
        <v>52798360</v>
      </c>
      <c r="D199" s="217">
        <f t="shared" ref="D199:E199" si="80">C199*1.1</f>
        <v>58078196.000000007</v>
      </c>
      <c r="E199" s="217">
        <f t="shared" si="80"/>
        <v>63886015.600000016</v>
      </c>
    </row>
    <row r="200" spans="1:5" ht="22.05" hidden="1" customHeight="1" outlineLevel="1">
      <c r="A200" s="224" t="s">
        <v>1290</v>
      </c>
      <c r="B200" s="215">
        <v>1260000</v>
      </c>
      <c r="C200" s="217">
        <f>'Itemized Budget 2026-27'!E493+'Itemized Budget 2026-27'!E495</f>
        <v>995000</v>
      </c>
      <c r="D200" s="217">
        <f t="shared" ref="D200:E200" si="81">C200*1.1</f>
        <v>1094500</v>
      </c>
      <c r="E200" s="217">
        <f t="shared" si="81"/>
        <v>1203950</v>
      </c>
    </row>
    <row r="201" spans="1:5" s="201" customFormat="1" ht="22.05" hidden="1" customHeight="1" outlineLevel="1">
      <c r="A201" s="218" t="s">
        <v>1291</v>
      </c>
      <c r="B201" s="215">
        <v>0</v>
      </c>
      <c r="C201" s="215">
        <f>SUM(C202:C203)</f>
        <v>0</v>
      </c>
      <c r="D201" s="215">
        <f t="shared" ref="D201:E201" si="82">SUM(D202:D203)</f>
        <v>0</v>
      </c>
      <c r="E201" s="215">
        <f t="shared" si="82"/>
        <v>0</v>
      </c>
    </row>
    <row r="202" spans="1:5" ht="22.05" hidden="1" customHeight="1" outlineLevel="1">
      <c r="A202" s="224" t="s">
        <v>1299</v>
      </c>
      <c r="B202" s="215">
        <v>0</v>
      </c>
      <c r="C202" s="217">
        <v>0</v>
      </c>
      <c r="D202" s="217">
        <f t="shared" ref="D202:E202" si="83">C202*1.1</f>
        <v>0</v>
      </c>
      <c r="E202" s="217">
        <f t="shared" si="83"/>
        <v>0</v>
      </c>
    </row>
    <row r="203" spans="1:5" ht="22.05" hidden="1" customHeight="1" outlineLevel="1">
      <c r="A203" s="224" t="s">
        <v>1300</v>
      </c>
      <c r="B203" s="215">
        <v>0</v>
      </c>
      <c r="C203" s="217">
        <v>0</v>
      </c>
      <c r="D203" s="217">
        <f t="shared" ref="D203:E203" si="84">C203*1.1</f>
        <v>0</v>
      </c>
      <c r="E203" s="217">
        <f t="shared" si="84"/>
        <v>0</v>
      </c>
    </row>
    <row r="204" spans="1:5" s="201" customFormat="1" ht="22.05" hidden="1" customHeight="1" outlineLevel="1">
      <c r="A204" s="218" t="s">
        <v>1301</v>
      </c>
      <c r="B204" s="215">
        <v>47657500</v>
      </c>
      <c r="C204" s="215">
        <f>C197+C201</f>
        <v>53793360</v>
      </c>
      <c r="D204" s="215">
        <f>D197+D201</f>
        <v>59172696.000000007</v>
      </c>
      <c r="E204" s="215">
        <f>E197+E201</f>
        <v>65089965.600000016</v>
      </c>
    </row>
    <row r="205" spans="1:5" s="201" customFormat="1" ht="22.05" hidden="1" customHeight="1" outlineLevel="1">
      <c r="B205" s="208"/>
      <c r="C205" s="208"/>
      <c r="D205" s="208"/>
      <c r="E205" s="208"/>
    </row>
    <row r="206" spans="1:5" s="201" customFormat="1" ht="22.05" hidden="1" customHeight="1" outlineLevel="1">
      <c r="B206" s="208"/>
      <c r="C206" s="208"/>
      <c r="D206" s="208"/>
      <c r="E206" s="208"/>
    </row>
    <row r="207" spans="1:5" ht="22.05" hidden="1" customHeight="1" outlineLevel="1">
      <c r="A207" s="218" t="s">
        <v>142</v>
      </c>
    </row>
    <row r="208" spans="1:5" ht="22.05" hidden="1" customHeight="1" outlineLevel="1">
      <c r="A208" s="218" t="s">
        <v>143</v>
      </c>
    </row>
    <row r="209" spans="1:5" ht="22.05" hidden="1" customHeight="1" outlineLevel="1">
      <c r="A209" s="210" t="s">
        <v>1287</v>
      </c>
      <c r="B209" s="822" t="s">
        <v>1257</v>
      </c>
      <c r="C209" s="822" t="s">
        <v>1258</v>
      </c>
      <c r="D209" s="824" t="s">
        <v>1259</v>
      </c>
      <c r="E209" s="825"/>
    </row>
    <row r="210" spans="1:5" s="201" customFormat="1" ht="22.05" hidden="1" customHeight="1" outlineLevel="1">
      <c r="A210" s="211"/>
      <c r="B210" s="823"/>
      <c r="C210" s="823"/>
      <c r="D210" s="788" t="s">
        <v>1260</v>
      </c>
      <c r="E210" s="788" t="s">
        <v>1261</v>
      </c>
    </row>
    <row r="211" spans="1:5" ht="22.05" hidden="1" customHeight="1" outlineLevel="1">
      <c r="A211" s="218" t="s">
        <v>1298</v>
      </c>
      <c r="B211" s="215">
        <v>13174682.699999999</v>
      </c>
      <c r="C211" s="215">
        <f>SUM(C212:C214)</f>
        <v>10391500</v>
      </c>
      <c r="D211" s="215">
        <f>SUM(D212:D214)</f>
        <v>11430650</v>
      </c>
      <c r="E211" s="215">
        <f>SUM(E212:E214)</f>
        <v>12573715</v>
      </c>
    </row>
    <row r="212" spans="1:5" ht="22.05" hidden="1" customHeight="1" outlineLevel="1">
      <c r="A212" s="224" t="s">
        <v>1288</v>
      </c>
      <c r="B212" s="215"/>
      <c r="C212" s="217"/>
      <c r="D212" s="217">
        <f t="shared" ref="D212:E212" si="85">C212*1.1</f>
        <v>0</v>
      </c>
      <c r="E212" s="217">
        <f t="shared" si="85"/>
        <v>0</v>
      </c>
    </row>
    <row r="213" spans="1:5" ht="22.05" hidden="1" customHeight="1" outlineLevel="1">
      <c r="A213" s="224" t="s">
        <v>1289</v>
      </c>
      <c r="B213" s="215">
        <v>12104682.699999999</v>
      </c>
      <c r="C213" s="217">
        <f>'Itemized Budget 2026-27'!E551-'Itemized Budget 2026-27'!E548-'Itemized Budget 2026-27'!E546</f>
        <v>9000500</v>
      </c>
      <c r="D213" s="217">
        <f t="shared" ref="D213:E213" si="86">C213*1.1</f>
        <v>9900550</v>
      </c>
      <c r="E213" s="217">
        <f t="shared" si="86"/>
        <v>10890605</v>
      </c>
    </row>
    <row r="214" spans="1:5" ht="22.05" hidden="1" customHeight="1" outlineLevel="1">
      <c r="A214" s="224" t="s">
        <v>1290</v>
      </c>
      <c r="B214" s="215">
        <v>1070000</v>
      </c>
      <c r="C214" s="217">
        <f>'Itemized Budget 2026-27'!E548+'Itemized Budget 2026-27'!E546</f>
        <v>1391000</v>
      </c>
      <c r="D214" s="217">
        <f t="shared" ref="D214:E214" si="87">C214*1.1</f>
        <v>1530100.0000000002</v>
      </c>
      <c r="E214" s="217">
        <f t="shared" si="87"/>
        <v>1683110.0000000005</v>
      </c>
    </row>
    <row r="215" spans="1:5" s="201" customFormat="1" ht="22.05" hidden="1" customHeight="1" outlineLevel="1">
      <c r="A215" s="218" t="s">
        <v>1291</v>
      </c>
      <c r="B215" s="215">
        <v>0</v>
      </c>
      <c r="C215" s="215">
        <f>SUM(C216:C217)</f>
        <v>0</v>
      </c>
      <c r="D215" s="215">
        <f t="shared" ref="D215:E215" si="88">SUM(D216:D217)</f>
        <v>0</v>
      </c>
      <c r="E215" s="215">
        <f t="shared" si="88"/>
        <v>0</v>
      </c>
    </row>
    <row r="216" spans="1:5" ht="22.05" hidden="1" customHeight="1" outlineLevel="1">
      <c r="A216" s="224" t="s">
        <v>1299</v>
      </c>
      <c r="B216" s="215">
        <v>0</v>
      </c>
      <c r="C216" s="217">
        <v>0</v>
      </c>
      <c r="D216" s="217">
        <f t="shared" ref="D216:E216" si="89">C216*1.1</f>
        <v>0</v>
      </c>
      <c r="E216" s="217">
        <f t="shared" si="89"/>
        <v>0</v>
      </c>
    </row>
    <row r="217" spans="1:5" ht="22.05" hidden="1" customHeight="1" outlineLevel="1">
      <c r="A217" s="224" t="s">
        <v>1300</v>
      </c>
      <c r="B217" s="215">
        <v>0</v>
      </c>
      <c r="C217" s="217">
        <v>0</v>
      </c>
      <c r="D217" s="217">
        <f t="shared" ref="D217:E217" si="90">C217*1.1</f>
        <v>0</v>
      </c>
      <c r="E217" s="217">
        <f t="shared" si="90"/>
        <v>0</v>
      </c>
    </row>
    <row r="218" spans="1:5" s="201" customFormat="1" ht="22.05" hidden="1" customHeight="1" outlineLevel="1">
      <c r="A218" s="218" t="s">
        <v>1301</v>
      </c>
      <c r="B218" s="215">
        <v>13174682.699999999</v>
      </c>
      <c r="C218" s="215">
        <f>C211+C215</f>
        <v>10391500</v>
      </c>
      <c r="D218" s="215">
        <f>D211+D215</f>
        <v>11430650</v>
      </c>
      <c r="E218" s="215">
        <f>E211+E215</f>
        <v>12573715</v>
      </c>
    </row>
    <row r="219" spans="1:5" s="201" customFormat="1" ht="22.05" hidden="1" customHeight="1" outlineLevel="1">
      <c r="B219" s="208"/>
      <c r="C219" s="208"/>
      <c r="D219" s="208"/>
      <c r="E219" s="208"/>
    </row>
    <row r="220" spans="1:5" ht="22.05" hidden="1" customHeight="1" outlineLevel="1">
      <c r="A220" s="218" t="s">
        <v>1307</v>
      </c>
    </row>
    <row r="221" spans="1:5" ht="22.05" hidden="1" customHeight="1" outlineLevel="1">
      <c r="A221" s="218" t="s">
        <v>1308</v>
      </c>
    </row>
    <row r="222" spans="1:5" ht="22.05" hidden="1" customHeight="1" outlineLevel="1">
      <c r="A222" s="210" t="s">
        <v>1287</v>
      </c>
      <c r="B222" s="822" t="s">
        <v>1257</v>
      </c>
      <c r="C222" s="822" t="s">
        <v>1258</v>
      </c>
      <c r="D222" s="824" t="s">
        <v>1259</v>
      </c>
      <c r="E222" s="825"/>
    </row>
    <row r="223" spans="1:5" s="201" customFormat="1" ht="22.05" hidden="1" customHeight="1" outlineLevel="1">
      <c r="A223" s="211"/>
      <c r="B223" s="823"/>
      <c r="C223" s="823"/>
      <c r="D223" s="788" t="s">
        <v>1260</v>
      </c>
      <c r="E223" s="788" t="s">
        <v>1261</v>
      </c>
    </row>
    <row r="224" spans="1:5" ht="22.05" hidden="1" customHeight="1" outlineLevel="1">
      <c r="A224" s="218" t="s">
        <v>1298</v>
      </c>
      <c r="B224" s="215">
        <v>6207053.5999999996</v>
      </c>
      <c r="C224" s="215">
        <f>SUM(C225:C227)</f>
        <v>11152000</v>
      </c>
      <c r="D224" s="215">
        <f>SUM(D225:D227)</f>
        <v>12267200</v>
      </c>
      <c r="E224" s="215">
        <f>SUM(E225:E227)</f>
        <v>13493920</v>
      </c>
    </row>
    <row r="225" spans="1:5" ht="22.05" hidden="1" customHeight="1" outlineLevel="1">
      <c r="A225" s="224" t="s">
        <v>1288</v>
      </c>
      <c r="B225" s="215"/>
      <c r="C225" s="217"/>
      <c r="D225" s="217">
        <f t="shared" ref="D225:E225" si="91">C225*1.1</f>
        <v>0</v>
      </c>
      <c r="E225" s="217">
        <f t="shared" si="91"/>
        <v>0</v>
      </c>
    </row>
    <row r="226" spans="1:5" ht="22.05" hidden="1" customHeight="1" outlineLevel="1">
      <c r="A226" s="224" t="s">
        <v>1289</v>
      </c>
      <c r="B226" s="215">
        <v>5342053.5999999996</v>
      </c>
      <c r="C226" s="217">
        <f>'Itemized Budget 2026-27'!E603-'Itemized Budget 2026-27'!E600-'Itemized Budget 2026-27'!E598</f>
        <v>9507000</v>
      </c>
      <c r="D226" s="217">
        <f t="shared" ref="D226:E226" si="92">C226*1.1</f>
        <v>10457700</v>
      </c>
      <c r="E226" s="217">
        <f t="shared" si="92"/>
        <v>11503470</v>
      </c>
    </row>
    <row r="227" spans="1:5" ht="22.05" hidden="1" customHeight="1" outlineLevel="1">
      <c r="A227" s="224" t="s">
        <v>1290</v>
      </c>
      <c r="B227" s="215">
        <v>865000</v>
      </c>
      <c r="C227" s="217">
        <f>'Itemized Budget 2026-27'!E600+'Itemized Budget 2026-27'!E598</f>
        <v>1645000</v>
      </c>
      <c r="D227" s="217">
        <f t="shared" ref="D227:E227" si="93">C227*1.1</f>
        <v>1809500.0000000002</v>
      </c>
      <c r="E227" s="217">
        <f t="shared" si="93"/>
        <v>1990450.0000000005</v>
      </c>
    </row>
    <row r="228" spans="1:5" s="201" customFormat="1" ht="22.05" hidden="1" customHeight="1" outlineLevel="1">
      <c r="A228" s="218" t="s">
        <v>1291</v>
      </c>
      <c r="B228" s="215">
        <v>0</v>
      </c>
      <c r="C228" s="215">
        <f>SUM(C229:C230)</f>
        <v>0</v>
      </c>
      <c r="D228" s="215">
        <f t="shared" ref="D228:E228" si="94">SUM(D229:D230)</f>
        <v>0</v>
      </c>
      <c r="E228" s="215">
        <f t="shared" si="94"/>
        <v>0</v>
      </c>
    </row>
    <row r="229" spans="1:5" ht="22.05" hidden="1" customHeight="1" outlineLevel="1">
      <c r="A229" s="224" t="s">
        <v>1299</v>
      </c>
      <c r="B229" s="215">
        <v>0</v>
      </c>
      <c r="C229" s="217">
        <v>0</v>
      </c>
      <c r="D229" s="217">
        <f t="shared" ref="D229:E229" si="95">C229*1.1</f>
        <v>0</v>
      </c>
      <c r="E229" s="217">
        <f t="shared" si="95"/>
        <v>0</v>
      </c>
    </row>
    <row r="230" spans="1:5" ht="22.05" hidden="1" customHeight="1" outlineLevel="1">
      <c r="A230" s="224" t="s">
        <v>1300</v>
      </c>
      <c r="B230" s="215">
        <v>0</v>
      </c>
      <c r="C230" s="217">
        <v>0</v>
      </c>
      <c r="D230" s="217">
        <f t="shared" ref="D230:E230" si="96">C230*1.1</f>
        <v>0</v>
      </c>
      <c r="E230" s="217">
        <f t="shared" si="96"/>
        <v>0</v>
      </c>
    </row>
    <row r="231" spans="1:5" s="201" customFormat="1" ht="22.05" hidden="1" customHeight="1" outlineLevel="1">
      <c r="A231" s="218" t="s">
        <v>1301</v>
      </c>
      <c r="B231" s="215">
        <v>6207053.5999999996</v>
      </c>
      <c r="C231" s="215">
        <f>C224+C228</f>
        <v>11152000</v>
      </c>
      <c r="D231" s="215">
        <f>D224+D228</f>
        <v>12267200</v>
      </c>
      <c r="E231" s="215">
        <f>E224+E228</f>
        <v>13493920</v>
      </c>
    </row>
    <row r="232" spans="1:5" s="201" customFormat="1" ht="22.05" hidden="1" customHeight="1" outlineLevel="1">
      <c r="B232" s="208"/>
      <c r="C232" s="208"/>
      <c r="D232" s="208"/>
      <c r="E232" s="208"/>
    </row>
    <row r="233" spans="1:5" ht="22.05" hidden="1" customHeight="1" outlineLevel="1">
      <c r="A233" s="218" t="s">
        <v>1309</v>
      </c>
    </row>
    <row r="234" spans="1:5" ht="22.05" hidden="1" customHeight="1" outlineLevel="1">
      <c r="A234" s="218" t="s">
        <v>1310</v>
      </c>
    </row>
    <row r="235" spans="1:5" ht="22.05" hidden="1" customHeight="1" outlineLevel="1">
      <c r="A235" s="210" t="s">
        <v>1287</v>
      </c>
      <c r="B235" s="822" t="s">
        <v>1257</v>
      </c>
      <c r="C235" s="822" t="s">
        <v>1258</v>
      </c>
      <c r="D235" s="824" t="s">
        <v>1259</v>
      </c>
      <c r="E235" s="825"/>
    </row>
    <row r="236" spans="1:5" s="201" customFormat="1" ht="22.05" hidden="1" customHeight="1" outlineLevel="1">
      <c r="A236" s="211"/>
      <c r="B236" s="823"/>
      <c r="C236" s="823"/>
      <c r="D236" s="788" t="s">
        <v>1260</v>
      </c>
      <c r="E236" s="788" t="s">
        <v>1261</v>
      </c>
    </row>
    <row r="237" spans="1:5" ht="22.05" hidden="1" customHeight="1" outlineLevel="1">
      <c r="A237" s="218" t="s">
        <v>1298</v>
      </c>
      <c r="B237" s="215">
        <v>38742424.270069897</v>
      </c>
      <c r="C237" s="215">
        <f>SUM(C238:C240)</f>
        <v>33762360</v>
      </c>
      <c r="D237" s="215">
        <f>SUM(D238:D240)</f>
        <v>37138596</v>
      </c>
      <c r="E237" s="215">
        <f>SUM(E238:E240)</f>
        <v>40852455.600000001</v>
      </c>
    </row>
    <row r="238" spans="1:5" ht="22.05" hidden="1" customHeight="1" outlineLevel="1">
      <c r="A238" s="224" t="s">
        <v>1288</v>
      </c>
      <c r="B238" s="215"/>
      <c r="C238" s="217"/>
      <c r="D238" s="217">
        <f t="shared" ref="D238:E238" si="97">C238*1.1</f>
        <v>0</v>
      </c>
      <c r="E238" s="217">
        <f t="shared" si="97"/>
        <v>0</v>
      </c>
    </row>
    <row r="239" spans="1:5" ht="22.05" hidden="1" customHeight="1" outlineLevel="1">
      <c r="A239" s="224" t="s">
        <v>1289</v>
      </c>
      <c r="B239" s="215">
        <v>37962424.270069897</v>
      </c>
      <c r="C239" s="217">
        <f>'Itemized Budget 2026-27'!E658-'Itemized Budget 2026-27'!E655-'Itemized Budget 2026-27'!E653</f>
        <v>33217360</v>
      </c>
      <c r="D239" s="217">
        <f t="shared" ref="D239:E239" si="98">C239*1.1</f>
        <v>36539096</v>
      </c>
      <c r="E239" s="217">
        <f t="shared" si="98"/>
        <v>40193005.600000001</v>
      </c>
    </row>
    <row r="240" spans="1:5" ht="22.05" hidden="1" customHeight="1" outlineLevel="1">
      <c r="A240" s="224" t="s">
        <v>1290</v>
      </c>
      <c r="B240" s="215">
        <v>780000</v>
      </c>
      <c r="C240" s="217">
        <f>'Itemized Budget 2026-27'!E655+'Itemized Budget 2026-27'!E653</f>
        <v>545000</v>
      </c>
      <c r="D240" s="217">
        <f t="shared" ref="D240:E240" si="99">C240*1.1</f>
        <v>599500</v>
      </c>
      <c r="E240" s="217">
        <f t="shared" si="99"/>
        <v>659450</v>
      </c>
    </row>
    <row r="241" spans="1:5" s="201" customFormat="1" ht="22.05" hidden="1" customHeight="1" outlineLevel="1">
      <c r="A241" s="218" t="s">
        <v>1291</v>
      </c>
      <c r="B241" s="215">
        <v>0</v>
      </c>
      <c r="C241" s="215">
        <f>SUM(C242:C243)</f>
        <v>0</v>
      </c>
      <c r="D241" s="215">
        <f t="shared" ref="D241:E241" si="100">SUM(D242:D243)</f>
        <v>0</v>
      </c>
      <c r="E241" s="215">
        <f t="shared" si="100"/>
        <v>0</v>
      </c>
    </row>
    <row r="242" spans="1:5" ht="22.05" hidden="1" customHeight="1" outlineLevel="1">
      <c r="A242" s="224" t="s">
        <v>1299</v>
      </c>
      <c r="B242" s="215">
        <v>0</v>
      </c>
      <c r="C242" s="217">
        <v>0</v>
      </c>
      <c r="D242" s="217">
        <f t="shared" ref="D242:E242" si="101">C242*1.1</f>
        <v>0</v>
      </c>
      <c r="E242" s="217">
        <f t="shared" si="101"/>
        <v>0</v>
      </c>
    </row>
    <row r="243" spans="1:5" ht="22.05" hidden="1" customHeight="1" outlineLevel="1">
      <c r="A243" s="224" t="s">
        <v>1300</v>
      </c>
      <c r="B243" s="215">
        <v>0</v>
      </c>
      <c r="C243" s="217">
        <v>0</v>
      </c>
      <c r="D243" s="217">
        <f t="shared" ref="D243:E243" si="102">C243*1.1</f>
        <v>0</v>
      </c>
      <c r="E243" s="217">
        <f t="shared" si="102"/>
        <v>0</v>
      </c>
    </row>
    <row r="244" spans="1:5" s="201" customFormat="1" ht="22.05" hidden="1" customHeight="1" outlineLevel="1">
      <c r="A244" s="218" t="s">
        <v>1301</v>
      </c>
      <c r="B244" s="215">
        <v>38742424.270069897</v>
      </c>
      <c r="C244" s="215">
        <f>C237+C241</f>
        <v>33762360</v>
      </c>
      <c r="D244" s="215">
        <f>D237+D241</f>
        <v>37138596</v>
      </c>
      <c r="E244" s="215">
        <f>E237+E241</f>
        <v>40852455.600000001</v>
      </c>
    </row>
    <row r="245" spans="1:5" s="201" customFormat="1" ht="22.05" hidden="1" customHeight="1" outlineLevel="1">
      <c r="B245" s="208"/>
      <c r="C245" s="208"/>
      <c r="D245" s="208"/>
      <c r="E245" s="208"/>
    </row>
    <row r="246" spans="1:5" ht="22.05" hidden="1" customHeight="1" outlineLevel="1">
      <c r="A246" s="218" t="s">
        <v>1311</v>
      </c>
    </row>
    <row r="247" spans="1:5" ht="22.05" hidden="1" customHeight="1" outlineLevel="1">
      <c r="A247" s="218" t="s">
        <v>1312</v>
      </c>
    </row>
    <row r="248" spans="1:5" ht="22.05" hidden="1" customHeight="1" outlineLevel="1">
      <c r="A248" s="210" t="s">
        <v>1287</v>
      </c>
      <c r="B248" s="822" t="s">
        <v>1257</v>
      </c>
      <c r="C248" s="822" t="s">
        <v>1258</v>
      </c>
      <c r="D248" s="824" t="s">
        <v>1259</v>
      </c>
      <c r="E248" s="825"/>
    </row>
    <row r="249" spans="1:5" s="201" customFormat="1" ht="22.05" hidden="1" customHeight="1" outlineLevel="1">
      <c r="A249" s="211"/>
      <c r="B249" s="823"/>
      <c r="C249" s="823"/>
      <c r="D249" s="788" t="s">
        <v>1260</v>
      </c>
      <c r="E249" s="788" t="s">
        <v>1261</v>
      </c>
    </row>
    <row r="250" spans="1:5" ht="22.05" hidden="1" customHeight="1" outlineLevel="1">
      <c r="A250" s="218" t="s">
        <v>1298</v>
      </c>
      <c r="B250" s="215">
        <v>8288200</v>
      </c>
      <c r="C250" s="215">
        <f>SUM(C251:C253)</f>
        <v>13320540</v>
      </c>
      <c r="D250" s="215">
        <f>SUM(D251:D253)</f>
        <v>14652594.000000002</v>
      </c>
      <c r="E250" s="215">
        <f>SUM(E251:E253)</f>
        <v>16117853.400000004</v>
      </c>
    </row>
    <row r="251" spans="1:5" ht="22.05" hidden="1" customHeight="1" outlineLevel="1">
      <c r="A251" s="224" t="s">
        <v>1288</v>
      </c>
      <c r="B251" s="215"/>
      <c r="C251" s="217"/>
      <c r="D251" s="217">
        <f t="shared" ref="D251:E251" si="103">C251*1.1</f>
        <v>0</v>
      </c>
      <c r="E251" s="217">
        <f t="shared" si="103"/>
        <v>0</v>
      </c>
    </row>
    <row r="252" spans="1:5" ht="22.05" hidden="1" customHeight="1" outlineLevel="1">
      <c r="A252" s="224" t="s">
        <v>1289</v>
      </c>
      <c r="B252" s="215">
        <v>7579000</v>
      </c>
      <c r="C252" s="217">
        <f>'Itemized Budget 2026-27'!E710-'Itemized Budget 2026-27'!E707-'Itemized Budget 2026-27'!E705</f>
        <v>12115540</v>
      </c>
      <c r="D252" s="217">
        <f t="shared" ref="D252:E252" si="104">C252*1.1</f>
        <v>13327094.000000002</v>
      </c>
      <c r="E252" s="217">
        <f t="shared" si="104"/>
        <v>14659803.400000004</v>
      </c>
    </row>
    <row r="253" spans="1:5" ht="22.05" hidden="1" customHeight="1" outlineLevel="1">
      <c r="A253" s="224" t="s">
        <v>1290</v>
      </c>
      <c r="B253" s="215">
        <v>709200</v>
      </c>
      <c r="C253" s="217">
        <f>'Itemized Budget 2026-27'!E707+'Itemized Budget 2026-27'!E705</f>
        <v>1205000</v>
      </c>
      <c r="D253" s="217">
        <f t="shared" ref="D253:E253" si="105">C253*1.1</f>
        <v>1325500</v>
      </c>
      <c r="E253" s="217">
        <f t="shared" si="105"/>
        <v>1458050.0000000002</v>
      </c>
    </row>
    <row r="254" spans="1:5" s="201" customFormat="1" ht="22.05" hidden="1" customHeight="1" outlineLevel="1">
      <c r="A254" s="218" t="s">
        <v>1291</v>
      </c>
      <c r="B254" s="215">
        <v>0</v>
      </c>
      <c r="C254" s="215">
        <f>SUM(C255:C256)</f>
        <v>0</v>
      </c>
      <c r="D254" s="215">
        <f t="shared" ref="D254:E254" si="106">SUM(D255:D256)</f>
        <v>0</v>
      </c>
      <c r="E254" s="215">
        <f t="shared" si="106"/>
        <v>0</v>
      </c>
    </row>
    <row r="255" spans="1:5" ht="22.05" hidden="1" customHeight="1" outlineLevel="1">
      <c r="A255" s="224" t="s">
        <v>1299</v>
      </c>
      <c r="B255" s="215">
        <v>0</v>
      </c>
      <c r="C255" s="217">
        <v>0</v>
      </c>
      <c r="D255" s="217">
        <f t="shared" ref="D255:E255" si="107">C255*1.1</f>
        <v>0</v>
      </c>
      <c r="E255" s="217">
        <f t="shared" si="107"/>
        <v>0</v>
      </c>
    </row>
    <row r="256" spans="1:5" ht="22.05" hidden="1" customHeight="1" outlineLevel="1">
      <c r="A256" s="224" t="s">
        <v>1300</v>
      </c>
      <c r="B256" s="215">
        <v>0</v>
      </c>
      <c r="C256" s="217">
        <v>0</v>
      </c>
      <c r="D256" s="217">
        <f t="shared" ref="D256:E256" si="108">C256*1.1</f>
        <v>0</v>
      </c>
      <c r="E256" s="217">
        <f t="shared" si="108"/>
        <v>0</v>
      </c>
    </row>
    <row r="257" spans="1:5" s="201" customFormat="1" ht="22.05" hidden="1" customHeight="1" outlineLevel="1">
      <c r="A257" s="218" t="s">
        <v>1301</v>
      </c>
      <c r="B257" s="215">
        <v>8288200</v>
      </c>
      <c r="C257" s="215">
        <f>C250+C254</f>
        <v>13320540</v>
      </c>
      <c r="D257" s="215">
        <f>D250+D254</f>
        <v>14652594.000000002</v>
      </c>
      <c r="E257" s="215">
        <f>E250+E254</f>
        <v>16117853.400000004</v>
      </c>
    </row>
    <row r="258" spans="1:5" s="201" customFormat="1" ht="22.05" hidden="1" customHeight="1" outlineLevel="1">
      <c r="B258" s="208"/>
      <c r="C258" s="208"/>
      <c r="D258" s="208"/>
      <c r="E258" s="208"/>
    </row>
    <row r="259" spans="1:5" ht="22.05" hidden="1" customHeight="1" outlineLevel="1">
      <c r="A259" s="218" t="s">
        <v>1281</v>
      </c>
    </row>
    <row r="260" spans="1:5" ht="22.05" hidden="1" customHeight="1" outlineLevel="1">
      <c r="A260" s="218" t="s">
        <v>1313</v>
      </c>
    </row>
    <row r="261" spans="1:5" ht="22.05" hidden="1" customHeight="1" outlineLevel="1">
      <c r="A261" s="210" t="s">
        <v>1287</v>
      </c>
      <c r="B261" s="822" t="s">
        <v>1257</v>
      </c>
      <c r="C261" s="822" t="s">
        <v>1258</v>
      </c>
      <c r="D261" s="824" t="s">
        <v>1259</v>
      </c>
      <c r="E261" s="825"/>
    </row>
    <row r="262" spans="1:5" s="201" customFormat="1" ht="22.05" hidden="1" customHeight="1" outlineLevel="1">
      <c r="A262" s="211"/>
      <c r="B262" s="823"/>
      <c r="C262" s="823"/>
      <c r="D262" s="788" t="s">
        <v>1260</v>
      </c>
      <c r="E262" s="788" t="s">
        <v>1261</v>
      </c>
    </row>
    <row r="263" spans="1:5" ht="22.05" hidden="1" customHeight="1" outlineLevel="1">
      <c r="A263" s="218" t="s">
        <v>1298</v>
      </c>
      <c r="B263" s="215">
        <v>85821962</v>
      </c>
      <c r="C263" s="215">
        <f>SUM(C264:C266)</f>
        <v>79187542</v>
      </c>
      <c r="D263" s="215">
        <f>SUM(D264:D266)</f>
        <v>87106296.200000003</v>
      </c>
      <c r="E263" s="215">
        <f>SUM(E264:E266)</f>
        <v>95816925.820000008</v>
      </c>
    </row>
    <row r="264" spans="1:5" ht="22.05" hidden="1" customHeight="1" outlineLevel="1">
      <c r="A264" s="224" t="s">
        <v>1288</v>
      </c>
      <c r="B264" s="215">
        <v>0</v>
      </c>
      <c r="C264" s="217">
        <f>0</f>
        <v>0</v>
      </c>
      <c r="D264" s="217">
        <f t="shared" ref="D264:E264" si="109">C264*1.1</f>
        <v>0</v>
      </c>
      <c r="E264" s="217">
        <f t="shared" si="109"/>
        <v>0</v>
      </c>
    </row>
    <row r="265" spans="1:5" ht="22.05" hidden="1" customHeight="1" outlineLevel="1">
      <c r="A265" s="224" t="s">
        <v>1289</v>
      </c>
      <c r="B265" s="215">
        <v>81361962</v>
      </c>
      <c r="C265" s="217">
        <f>'Itemized Budget 2026-27'!E776-'Itemized Budget 2026-27'!E774-'Itemized Budget 2026-27'!E771</f>
        <v>75707542</v>
      </c>
      <c r="D265" s="217">
        <f t="shared" ref="D265:E265" si="110">C265*1.1</f>
        <v>83278296.200000003</v>
      </c>
      <c r="E265" s="217">
        <f t="shared" si="110"/>
        <v>91606125.820000008</v>
      </c>
    </row>
    <row r="266" spans="1:5" ht="22.05" hidden="1" customHeight="1" outlineLevel="1">
      <c r="A266" s="224" t="s">
        <v>1290</v>
      </c>
      <c r="B266" s="215">
        <v>4460000</v>
      </c>
      <c r="C266" s="217">
        <f>'Itemized Budget 2026-27'!E774+'Itemized Budget 2026-27'!E771</f>
        <v>3480000</v>
      </c>
      <c r="D266" s="217">
        <f t="shared" ref="D266:E266" si="111">C266*1.1</f>
        <v>3828000.0000000005</v>
      </c>
      <c r="E266" s="217">
        <f t="shared" si="111"/>
        <v>4210800.0000000009</v>
      </c>
    </row>
    <row r="267" spans="1:5" s="201" customFormat="1" ht="22.05" hidden="1" customHeight="1" outlineLevel="1">
      <c r="A267" s="218" t="s">
        <v>1291</v>
      </c>
      <c r="B267" s="215">
        <v>47458500</v>
      </c>
      <c r="C267" s="215">
        <f>SUM(C268:C269)</f>
        <v>35779423.525239944</v>
      </c>
      <c r="D267" s="215">
        <f t="shared" ref="D267:E267" si="112">SUM(D268:D269)</f>
        <v>39357365.877763942</v>
      </c>
      <c r="E267" s="215">
        <f t="shared" si="112"/>
        <v>43293102.465540342</v>
      </c>
    </row>
    <row r="268" spans="1:5" ht="22.05" hidden="1" customHeight="1" outlineLevel="1">
      <c r="A268" s="224" t="s">
        <v>1299</v>
      </c>
      <c r="B268" s="215">
        <v>47458500</v>
      </c>
      <c r="C268" s="217">
        <f>'Itemized Budget 2026-27'!E782</f>
        <v>35779423.525239944</v>
      </c>
      <c r="D268" s="217">
        <f t="shared" ref="D268:E268" si="113">C268*1.1</f>
        <v>39357365.877763942</v>
      </c>
      <c r="E268" s="217">
        <f t="shared" si="113"/>
        <v>43293102.465540342</v>
      </c>
    </row>
    <row r="269" spans="1:5" ht="22.05" hidden="1" customHeight="1" outlineLevel="1">
      <c r="A269" s="224" t="s">
        <v>1300</v>
      </c>
      <c r="B269" s="215">
        <v>0</v>
      </c>
      <c r="C269" s="217">
        <v>0</v>
      </c>
      <c r="D269" s="217">
        <f t="shared" ref="D269:E269" si="114">C269*1.1</f>
        <v>0</v>
      </c>
      <c r="E269" s="217">
        <f t="shared" si="114"/>
        <v>0</v>
      </c>
    </row>
    <row r="270" spans="1:5" s="201" customFormat="1" ht="22.05" hidden="1" customHeight="1" outlineLevel="1">
      <c r="A270" s="218" t="s">
        <v>1301</v>
      </c>
      <c r="B270" s="215">
        <v>133280462</v>
      </c>
      <c r="C270" s="215">
        <f>C263+C267</f>
        <v>114966965.52523994</v>
      </c>
      <c r="D270" s="215">
        <f>D263+D267</f>
        <v>126463662.07776394</v>
      </c>
      <c r="E270" s="215">
        <f>E263+E267</f>
        <v>139110028.28554034</v>
      </c>
    </row>
    <row r="271" spans="1:5" s="201" customFormat="1" ht="22.05" hidden="1" customHeight="1" outlineLevel="1">
      <c r="B271" s="208"/>
      <c r="C271" s="208"/>
      <c r="D271" s="208"/>
      <c r="E271" s="208"/>
    </row>
    <row r="272" spans="1:5" ht="22.05" hidden="1" customHeight="1" outlineLevel="1">
      <c r="A272" s="218" t="s">
        <v>190</v>
      </c>
    </row>
    <row r="273" spans="1:5" ht="22.05" hidden="1" customHeight="1" outlineLevel="1">
      <c r="A273" s="218" t="s">
        <v>191</v>
      </c>
    </row>
    <row r="274" spans="1:5" ht="22.05" hidden="1" customHeight="1" outlineLevel="1">
      <c r="A274" s="210" t="s">
        <v>1287</v>
      </c>
      <c r="B274" s="822" t="s">
        <v>1257</v>
      </c>
      <c r="C274" s="822" t="s">
        <v>1258</v>
      </c>
      <c r="D274" s="824" t="s">
        <v>1259</v>
      </c>
      <c r="E274" s="825"/>
    </row>
    <row r="275" spans="1:5" s="201" customFormat="1" ht="22.05" hidden="1" customHeight="1" outlineLevel="1">
      <c r="A275" s="211"/>
      <c r="B275" s="823"/>
      <c r="C275" s="823"/>
      <c r="D275" s="788" t="s">
        <v>1260</v>
      </c>
      <c r="E275" s="788" t="s">
        <v>1261</v>
      </c>
    </row>
    <row r="276" spans="1:5" ht="22.05" hidden="1" customHeight="1" outlineLevel="1">
      <c r="A276" s="218" t="s">
        <v>1298</v>
      </c>
      <c r="B276" s="215">
        <v>29796995</v>
      </c>
      <c r="C276" s="215">
        <f>SUM(C277:C279)</f>
        <v>30029700</v>
      </c>
      <c r="D276" s="215">
        <f>SUM(D277:D279)</f>
        <v>33032670.000000004</v>
      </c>
      <c r="E276" s="215">
        <f>SUM(E277:E279)</f>
        <v>36335937.000000007</v>
      </c>
    </row>
    <row r="277" spans="1:5" ht="22.05" hidden="1" customHeight="1" outlineLevel="1">
      <c r="A277" s="224" t="s">
        <v>1288</v>
      </c>
      <c r="B277" s="215">
        <v>0</v>
      </c>
      <c r="C277" s="217">
        <v>0</v>
      </c>
      <c r="D277" s="217">
        <f t="shared" ref="D277:E277" si="115">C277*1.1</f>
        <v>0</v>
      </c>
      <c r="E277" s="217">
        <f t="shared" si="115"/>
        <v>0</v>
      </c>
    </row>
    <row r="278" spans="1:5" ht="22.05" hidden="1" customHeight="1" outlineLevel="1">
      <c r="A278" s="224" t="s">
        <v>1289</v>
      </c>
      <c r="B278" s="215">
        <v>23187995</v>
      </c>
      <c r="C278" s="217">
        <f>'Itemized Budget 2026-27'!E828</f>
        <v>30029700</v>
      </c>
      <c r="D278" s="217">
        <f t="shared" ref="D278:E278" si="116">C278*1.1</f>
        <v>33032670.000000004</v>
      </c>
      <c r="E278" s="217">
        <f t="shared" si="116"/>
        <v>36335937.000000007</v>
      </c>
    </row>
    <row r="279" spans="1:5" ht="22.05" hidden="1" customHeight="1" outlineLevel="1">
      <c r="A279" s="224" t="s">
        <v>1290</v>
      </c>
      <c r="B279" s="215">
        <v>6609000</v>
      </c>
      <c r="C279" s="217"/>
      <c r="D279" s="217">
        <f t="shared" ref="D279:E279" si="117">C279*1.1</f>
        <v>0</v>
      </c>
      <c r="E279" s="217">
        <f t="shared" si="117"/>
        <v>0</v>
      </c>
    </row>
    <row r="280" spans="1:5" s="201" customFormat="1" ht="22.05" hidden="1" customHeight="1" outlineLevel="1">
      <c r="A280" s="218" t="s">
        <v>1291</v>
      </c>
      <c r="B280" s="215">
        <v>0</v>
      </c>
      <c r="C280" s="215">
        <f>SUM(C281:C282)</f>
        <v>0</v>
      </c>
      <c r="D280" s="215">
        <f t="shared" ref="D280:E280" si="118">SUM(D281:D282)</f>
        <v>0</v>
      </c>
      <c r="E280" s="215">
        <f t="shared" si="118"/>
        <v>0</v>
      </c>
    </row>
    <row r="281" spans="1:5" ht="22.05" hidden="1" customHeight="1" outlineLevel="1">
      <c r="A281" s="224" t="s">
        <v>1299</v>
      </c>
      <c r="B281" s="215">
        <v>0</v>
      </c>
      <c r="C281" s="217">
        <v>0</v>
      </c>
      <c r="D281" s="217">
        <f t="shared" ref="D281:E281" si="119">C281*1.1</f>
        <v>0</v>
      </c>
      <c r="E281" s="217">
        <f t="shared" si="119"/>
        <v>0</v>
      </c>
    </row>
    <row r="282" spans="1:5" ht="22.05" hidden="1" customHeight="1" outlineLevel="1">
      <c r="A282" s="224" t="s">
        <v>1300</v>
      </c>
      <c r="B282" s="215">
        <v>0</v>
      </c>
      <c r="C282" s="217">
        <v>0</v>
      </c>
      <c r="D282" s="217">
        <f t="shared" ref="D282:E282" si="120">C282*1.1</f>
        <v>0</v>
      </c>
      <c r="E282" s="217">
        <f t="shared" si="120"/>
        <v>0</v>
      </c>
    </row>
    <row r="283" spans="1:5" s="201" customFormat="1" ht="22.05" hidden="1" customHeight="1" outlineLevel="1">
      <c r="A283" s="218" t="s">
        <v>1301</v>
      </c>
      <c r="B283" s="215">
        <v>29796995</v>
      </c>
      <c r="C283" s="215">
        <f>C276+C280</f>
        <v>30029700</v>
      </c>
      <c r="D283" s="215">
        <f>D276+D280</f>
        <v>33032670.000000004</v>
      </c>
      <c r="E283" s="215">
        <f>E276+E280</f>
        <v>36335937.000000007</v>
      </c>
    </row>
    <row r="284" spans="1:5" s="201" customFormat="1" ht="22.05" hidden="1" customHeight="1" outlineLevel="1">
      <c r="B284" s="208"/>
      <c r="C284" s="208"/>
      <c r="D284" s="208"/>
      <c r="E284" s="208"/>
    </row>
    <row r="285" spans="1:5" s="201" customFormat="1" ht="22.05" hidden="1" customHeight="1" outlineLevel="1">
      <c r="B285" s="208"/>
      <c r="C285" s="208"/>
      <c r="D285" s="208"/>
      <c r="E285" s="208"/>
    </row>
    <row r="286" spans="1:5" s="201" customFormat="1" ht="22.05" customHeight="1" collapsed="1">
      <c r="B286" s="208"/>
      <c r="C286" s="208"/>
      <c r="D286" s="208"/>
      <c r="E286" s="208"/>
    </row>
    <row r="287" spans="1:5" ht="22.05" customHeight="1">
      <c r="A287" s="201" t="s">
        <v>1314</v>
      </c>
    </row>
    <row r="288" spans="1:5" ht="22.05" hidden="1" customHeight="1" outlineLevel="1">
      <c r="A288" s="201" t="s">
        <v>1255</v>
      </c>
      <c r="B288" s="209"/>
      <c r="C288" s="209"/>
      <c r="D288" s="209"/>
      <c r="E288" s="209"/>
    </row>
    <row r="289" spans="1:6" s="201" customFormat="1" ht="22.05" hidden="1" customHeight="1" outlineLevel="1">
      <c r="A289" s="210" t="s">
        <v>1256</v>
      </c>
      <c r="B289" s="822" t="s">
        <v>1257</v>
      </c>
      <c r="C289" s="822" t="s">
        <v>1258</v>
      </c>
      <c r="D289" s="824" t="s">
        <v>1259</v>
      </c>
      <c r="E289" s="825"/>
    </row>
    <row r="290" spans="1:6" ht="22.05" hidden="1" customHeight="1" outlineLevel="1">
      <c r="A290" s="211"/>
      <c r="B290" s="823"/>
      <c r="C290" s="823"/>
      <c r="D290" s="788" t="s">
        <v>1260</v>
      </c>
      <c r="E290" s="788" t="s">
        <v>1261</v>
      </c>
    </row>
    <row r="291" spans="1:6" ht="22.05" hidden="1" customHeight="1" outlineLevel="1">
      <c r="A291" s="212" t="s">
        <v>1297</v>
      </c>
      <c r="B291" s="213">
        <v>33407771.09</v>
      </c>
      <c r="C291" s="213">
        <f>C326</f>
        <v>32407771.09</v>
      </c>
      <c r="D291" s="213">
        <f t="shared" ref="D291:E291" si="121">D326</f>
        <v>35648548.199000001</v>
      </c>
      <c r="E291" s="213">
        <f t="shared" si="121"/>
        <v>39213403.018900007</v>
      </c>
    </row>
    <row r="292" spans="1:6" ht="22.05" hidden="1" customHeight="1" outlineLevel="1">
      <c r="A292" s="214" t="s">
        <v>1315</v>
      </c>
      <c r="B292" s="215">
        <v>33407771.09</v>
      </c>
      <c r="C292" s="215">
        <f>SUM(C291)</f>
        <v>32407771.09</v>
      </c>
      <c r="D292" s="215">
        <f>SUM(D291)</f>
        <v>35648548.199000001</v>
      </c>
      <c r="E292" s="215">
        <f>SUM(E291)</f>
        <v>39213403.018900007</v>
      </c>
    </row>
    <row r="293" spans="1:6" ht="22.05" hidden="1" customHeight="1" outlineLevel="1">
      <c r="A293" s="232" t="s">
        <v>1316</v>
      </c>
      <c r="B293" s="217">
        <v>38405343.037</v>
      </c>
      <c r="C293" s="217">
        <f>C339</f>
        <v>30480343.037</v>
      </c>
      <c r="D293" s="217">
        <f t="shared" ref="D293:E293" si="122">D339</f>
        <v>33528377.340700001</v>
      </c>
      <c r="E293" s="217">
        <f t="shared" si="122"/>
        <v>36881215.074770004</v>
      </c>
    </row>
    <row r="294" spans="1:6" ht="22.05" hidden="1" customHeight="1" outlineLevel="1">
      <c r="A294" s="212" t="s">
        <v>1317</v>
      </c>
      <c r="B294" s="217">
        <v>38501304.273999996</v>
      </c>
      <c r="C294" s="217">
        <f>C352</f>
        <v>40003304.274000004</v>
      </c>
      <c r="D294" s="217">
        <f t="shared" ref="D294:E294" si="123">D352</f>
        <v>44003634.701400012</v>
      </c>
      <c r="E294" s="217">
        <f t="shared" si="123"/>
        <v>48403998.171540014</v>
      </c>
    </row>
    <row r="295" spans="1:6" ht="22.05" hidden="1" customHeight="1" outlineLevel="1">
      <c r="A295" s="212" t="s">
        <v>1318</v>
      </c>
      <c r="B295" s="217">
        <v>17512303.800000001</v>
      </c>
      <c r="C295" s="217">
        <f>C365</f>
        <v>23077303.800000001</v>
      </c>
      <c r="D295" s="217">
        <f t="shared" ref="D295:E295" si="124">D365</f>
        <v>25385034.18</v>
      </c>
      <c r="E295" s="217">
        <f t="shared" si="124"/>
        <v>27923537.598000005</v>
      </c>
    </row>
    <row r="296" spans="1:6" ht="22.05" hidden="1" customHeight="1" outlineLevel="1">
      <c r="A296" s="214" t="s">
        <v>1319</v>
      </c>
      <c r="B296" s="225">
        <v>94418951.111000001</v>
      </c>
      <c r="C296" s="225">
        <f>C294+C295+C293</f>
        <v>93560951.111000001</v>
      </c>
      <c r="D296" s="225">
        <f>D294+D295+D293</f>
        <v>102917046.22210002</v>
      </c>
      <c r="E296" s="225">
        <f>E294+E295+E293</f>
        <v>113208750.84431002</v>
      </c>
      <c r="F296" s="233">
        <f>C296+C292</f>
        <v>125968722.20100001</v>
      </c>
    </row>
    <row r="297" spans="1:6" ht="22.05" hidden="1" customHeight="1" outlineLevel="1">
      <c r="A297" s="224" t="s">
        <v>1320</v>
      </c>
      <c r="B297" s="213">
        <v>42628308.600000001</v>
      </c>
      <c r="C297" s="213">
        <f>C378</f>
        <v>40511166.600000001</v>
      </c>
      <c r="D297" s="213">
        <f t="shared" ref="D297:E297" si="125">D378</f>
        <v>44562283.260000005</v>
      </c>
      <c r="E297" s="213">
        <f t="shared" si="125"/>
        <v>49018511.58600001</v>
      </c>
    </row>
    <row r="298" spans="1:6" ht="22.05" hidden="1" customHeight="1" outlineLevel="1">
      <c r="A298" s="234" t="s">
        <v>1321</v>
      </c>
      <c r="B298" s="225">
        <v>25254364.199999999</v>
      </c>
      <c r="C298" s="213">
        <f>C391</f>
        <v>31229506.199999999</v>
      </c>
      <c r="D298" s="213">
        <f t="shared" ref="D298:E298" si="126">D391</f>
        <v>34352456.82</v>
      </c>
      <c r="E298" s="213">
        <f t="shared" si="126"/>
        <v>37787702.502000004</v>
      </c>
    </row>
    <row r="299" spans="1:6" s="201" customFormat="1" ht="22.05" hidden="1" customHeight="1" outlineLevel="1">
      <c r="A299" s="214" t="s">
        <v>1322</v>
      </c>
      <c r="B299" s="225">
        <v>67882672.799999997</v>
      </c>
      <c r="C299" s="225">
        <f>SUM(C297:C298)</f>
        <v>71740672.799999997</v>
      </c>
      <c r="D299" s="225">
        <f>SUM(D297:D298)</f>
        <v>78914740.080000013</v>
      </c>
      <c r="E299" s="225">
        <f>SUM(E297:E298)</f>
        <v>86806214.088000014</v>
      </c>
    </row>
    <row r="300" spans="1:6" ht="22.05" hidden="1" customHeight="1" outlineLevel="1">
      <c r="A300" s="214" t="s">
        <v>1285</v>
      </c>
      <c r="B300" s="215">
        <v>195709395.00099999</v>
      </c>
      <c r="C300" s="215">
        <f>C296+C292+C299</f>
        <v>197709395.00099999</v>
      </c>
      <c r="D300" s="215">
        <f>D296+D292+D299</f>
        <v>217480334.50110003</v>
      </c>
      <c r="E300" s="215">
        <f>E296+E292+E299</f>
        <v>239228367.95121002</v>
      </c>
    </row>
    <row r="301" spans="1:6" ht="22.05" hidden="1" customHeight="1" outlineLevel="1">
      <c r="A301" s="235"/>
      <c r="B301" s="236"/>
      <c r="C301" s="236"/>
      <c r="D301" s="236"/>
      <c r="E301" s="236"/>
    </row>
    <row r="302" spans="1:6" s="201" customFormat="1" ht="22.05" hidden="1" customHeight="1" outlineLevel="1">
      <c r="A302" s="201" t="s">
        <v>1323</v>
      </c>
      <c r="B302" s="208"/>
      <c r="C302" s="208"/>
      <c r="D302" s="208"/>
      <c r="E302" s="208"/>
    </row>
    <row r="303" spans="1:6" ht="22.05" hidden="1" customHeight="1" outlineLevel="1">
      <c r="A303" s="210" t="s">
        <v>1287</v>
      </c>
      <c r="B303" s="822" t="s">
        <v>1257</v>
      </c>
      <c r="C303" s="822" t="s">
        <v>1258</v>
      </c>
      <c r="D303" s="824" t="s">
        <v>1259</v>
      </c>
      <c r="E303" s="825"/>
    </row>
    <row r="304" spans="1:6" ht="22.05" hidden="1" customHeight="1" outlineLevel="1">
      <c r="A304" s="211"/>
      <c r="B304" s="823"/>
      <c r="C304" s="823"/>
      <c r="D304" s="788" t="s">
        <v>1260</v>
      </c>
      <c r="E304" s="788" t="s">
        <v>1261</v>
      </c>
    </row>
    <row r="305" spans="1:5" ht="22.05" hidden="1" customHeight="1" outlineLevel="1">
      <c r="A305" s="218" t="s">
        <v>1298</v>
      </c>
      <c r="B305" s="215">
        <v>172481587.00099999</v>
      </c>
      <c r="C305" s="215">
        <f>SUM(C306:C308)</f>
        <v>154206587.00100002</v>
      </c>
      <c r="D305" s="215">
        <f>SUM(D306:D308)</f>
        <v>169627245.70110002</v>
      </c>
      <c r="E305" s="215">
        <f>SUM(E306:E308)</f>
        <v>186589970.27121001</v>
      </c>
    </row>
    <row r="306" spans="1:5" ht="22.05" hidden="1" customHeight="1" outlineLevel="1">
      <c r="A306" s="224" t="s">
        <v>1288</v>
      </c>
      <c r="B306" s="217">
        <v>79668380.001000002</v>
      </c>
      <c r="C306" s="217">
        <f>C320+C333+C346+C359+C372+C385</f>
        <v>79668380.001000002</v>
      </c>
      <c r="D306" s="217">
        <f t="shared" ref="D306:E306" si="127">D320+D333+D346+D359+D372+D385</f>
        <v>87635218.001100004</v>
      </c>
      <c r="E306" s="217">
        <f t="shared" si="127"/>
        <v>96398739.801210016</v>
      </c>
    </row>
    <row r="307" spans="1:5" ht="22.05" hidden="1" customHeight="1" outlineLevel="1">
      <c r="A307" s="224" t="s">
        <v>1289</v>
      </c>
      <c r="B307" s="217">
        <v>88978681.599999994</v>
      </c>
      <c r="C307" s="217">
        <f t="shared" ref="C307:E308" si="128">C321+C334+C347+C360+C373+C386</f>
        <v>71827902.599999994</v>
      </c>
      <c r="D307" s="217">
        <f t="shared" si="128"/>
        <v>79010692.860000014</v>
      </c>
      <c r="E307" s="217">
        <f t="shared" si="128"/>
        <v>86911762.146000013</v>
      </c>
    </row>
    <row r="308" spans="1:5" ht="22.05" hidden="1" customHeight="1" outlineLevel="1">
      <c r="A308" s="224" t="s">
        <v>1290</v>
      </c>
      <c r="B308" s="217">
        <v>3834525.4</v>
      </c>
      <c r="C308" s="217">
        <f t="shared" si="128"/>
        <v>2710304.4</v>
      </c>
      <c r="D308" s="217">
        <f t="shared" si="128"/>
        <v>2981334.84</v>
      </c>
      <c r="E308" s="217">
        <f t="shared" si="128"/>
        <v>3279468.3240000005</v>
      </c>
    </row>
    <row r="309" spans="1:5" ht="22.05" hidden="1" customHeight="1" outlineLevel="1">
      <c r="A309" s="218" t="s">
        <v>1291</v>
      </c>
      <c r="B309" s="215">
        <v>23227808</v>
      </c>
      <c r="C309" s="215">
        <f>SUM(C310:C311)</f>
        <v>43502808</v>
      </c>
      <c r="D309" s="215">
        <f>SUM(D310:D311)</f>
        <v>47853088.800000004</v>
      </c>
      <c r="E309" s="215">
        <f>SUM(E310:E311)</f>
        <v>52638397.680000007</v>
      </c>
    </row>
    <row r="310" spans="1:5" s="201" customFormat="1" ht="22.05" hidden="1" customHeight="1" outlineLevel="1">
      <c r="A310" s="224" t="s">
        <v>1292</v>
      </c>
      <c r="B310" s="217">
        <v>23227808</v>
      </c>
      <c r="C310" s="217">
        <f>C324+C337+C350+C363+C376+C389</f>
        <v>43502808</v>
      </c>
      <c r="D310" s="217">
        <f>D337+D350+D363+D324+D376+D389</f>
        <v>47853088.800000004</v>
      </c>
      <c r="E310" s="217">
        <f>E337+E350+E363+E324+E376+E389</f>
        <v>52638397.680000007</v>
      </c>
    </row>
    <row r="311" spans="1:5" ht="22.05" hidden="1" customHeight="1" outlineLevel="1">
      <c r="A311" s="224" t="s">
        <v>1293</v>
      </c>
      <c r="B311" s="217">
        <v>0</v>
      </c>
      <c r="C311" s="217">
        <f>C338+C351+C364+C325+C377+C390</f>
        <v>0</v>
      </c>
      <c r="D311" s="217">
        <f>D338+D351+D364+D325+D377+D390</f>
        <v>0</v>
      </c>
      <c r="E311" s="217">
        <f>E338+E351+E364+E325+E377+E390</f>
        <v>0</v>
      </c>
    </row>
    <row r="312" spans="1:5" ht="22.05" hidden="1" customHeight="1" outlineLevel="1">
      <c r="A312" s="218" t="s">
        <v>1294</v>
      </c>
      <c r="B312" s="215">
        <v>195709395.00099999</v>
      </c>
      <c r="C312" s="215">
        <f>SUM(C305,C309)</f>
        <v>197709395.00100002</v>
      </c>
      <c r="D312" s="215">
        <f>SUM(D305,D309)</f>
        <v>217480334.50110003</v>
      </c>
      <c r="E312" s="215">
        <f>SUM(E305,E309)</f>
        <v>239228367.95121002</v>
      </c>
    </row>
    <row r="313" spans="1:5" ht="22.05" hidden="1" customHeight="1" outlineLevel="1">
      <c r="A313" s="237"/>
    </row>
    <row r="314" spans="1:5" ht="22.05" hidden="1" customHeight="1" outlineLevel="1">
      <c r="A314" s="237"/>
    </row>
    <row r="315" spans="1:5" s="201" customFormat="1" ht="22.05" hidden="1" customHeight="1" outlineLevel="1">
      <c r="A315" s="201" t="s">
        <v>1295</v>
      </c>
      <c r="B315" s="206"/>
      <c r="C315" s="206"/>
      <c r="D315" s="206"/>
      <c r="E315" s="206"/>
    </row>
    <row r="316" spans="1:5" ht="22.05" hidden="1" customHeight="1" outlineLevel="1">
      <c r="A316" s="214" t="s">
        <v>1263</v>
      </c>
      <c r="B316" s="208"/>
      <c r="C316" s="208"/>
      <c r="D316" s="208"/>
      <c r="E316" s="208"/>
    </row>
    <row r="317" spans="1:5" ht="22.05" hidden="1" customHeight="1" outlineLevel="1">
      <c r="A317" s="210" t="s">
        <v>1287</v>
      </c>
      <c r="B317" s="822" t="s">
        <v>1257</v>
      </c>
      <c r="C317" s="822" t="s">
        <v>1258</v>
      </c>
      <c r="D317" s="824" t="s">
        <v>1259</v>
      </c>
      <c r="E317" s="825"/>
    </row>
    <row r="318" spans="1:5" ht="22.05" hidden="1" customHeight="1" outlineLevel="1">
      <c r="A318" s="211"/>
      <c r="B318" s="823"/>
      <c r="C318" s="823"/>
      <c r="D318" s="788" t="s">
        <v>1260</v>
      </c>
      <c r="E318" s="788" t="s">
        <v>1261</v>
      </c>
    </row>
    <row r="319" spans="1:5" ht="22.05" hidden="1" customHeight="1" outlineLevel="1">
      <c r="A319" s="218" t="s">
        <v>1298</v>
      </c>
      <c r="B319" s="215">
        <v>33407771.09</v>
      </c>
      <c r="C319" s="215">
        <f>SUM(C320:C322)</f>
        <v>32407771.09</v>
      </c>
      <c r="D319" s="215">
        <f>SUM(D320:D322)</f>
        <v>35648548.199000001</v>
      </c>
      <c r="E319" s="215">
        <f>SUM(E320:E322)</f>
        <v>39213403.018900007</v>
      </c>
    </row>
    <row r="320" spans="1:5" ht="22.05" hidden="1" customHeight="1" outlineLevel="1">
      <c r="A320" s="224" t="s">
        <v>1288</v>
      </c>
      <c r="B320" s="217">
        <v>11407771.09</v>
      </c>
      <c r="C320" s="217">
        <f>'Itemized Budget 2026-27'!E843</f>
        <v>11407771.09</v>
      </c>
      <c r="D320" s="217">
        <f>C320*1.1</f>
        <v>12548548.199000001</v>
      </c>
      <c r="E320" s="217">
        <f>D320*1.1</f>
        <v>13803403.018900001</v>
      </c>
    </row>
    <row r="321" spans="1:5" ht="22.05" hidden="1" customHeight="1" outlineLevel="1">
      <c r="A321" s="224" t="s">
        <v>1289</v>
      </c>
      <c r="B321" s="217">
        <v>20360000</v>
      </c>
      <c r="C321" s="217">
        <f>'Itemized Budget 2026-27'!E900-'Itemized Budget 2026-27'!E896-'Itemized Budget 2026-27'!E843</f>
        <v>19510000</v>
      </c>
      <c r="D321" s="217">
        <f t="shared" ref="D321:E321" si="129">C321*1.1</f>
        <v>21461000</v>
      </c>
      <c r="E321" s="217">
        <f t="shared" si="129"/>
        <v>23607100.000000004</v>
      </c>
    </row>
    <row r="322" spans="1:5" ht="22.05" hidden="1" customHeight="1" outlineLevel="1">
      <c r="A322" s="224" t="s">
        <v>1290</v>
      </c>
      <c r="B322" s="217">
        <v>1640000</v>
      </c>
      <c r="C322" s="217">
        <f>'Itemized Budget 2026-27'!E896</f>
        <v>1490000</v>
      </c>
      <c r="D322" s="217">
        <f t="shared" ref="D322:E322" si="130">C322*1.1</f>
        <v>1639000.0000000002</v>
      </c>
      <c r="E322" s="217">
        <f t="shared" si="130"/>
        <v>1802900.0000000005</v>
      </c>
    </row>
    <row r="323" spans="1:5" ht="22.05" hidden="1" customHeight="1" outlineLevel="1">
      <c r="A323" s="218" t="s">
        <v>1291</v>
      </c>
      <c r="B323" s="215">
        <v>0</v>
      </c>
      <c r="C323" s="215">
        <f>SUM(C324:C325)</f>
        <v>0</v>
      </c>
      <c r="D323" s="215">
        <f t="shared" ref="D323:E323" si="131">SUM(D324:D325)</f>
        <v>0</v>
      </c>
      <c r="E323" s="215">
        <f t="shared" si="131"/>
        <v>0</v>
      </c>
    </row>
    <row r="324" spans="1:5" ht="22.05" hidden="1" customHeight="1" outlineLevel="1">
      <c r="A324" s="224" t="s">
        <v>1299</v>
      </c>
      <c r="B324" s="217"/>
      <c r="C324" s="217"/>
      <c r="D324" s="217">
        <f t="shared" ref="D324:E324" si="132">C324*1.1</f>
        <v>0</v>
      </c>
      <c r="E324" s="217">
        <f t="shared" si="132"/>
        <v>0</v>
      </c>
    </row>
    <row r="325" spans="1:5" ht="22.05" hidden="1" customHeight="1" outlineLevel="1">
      <c r="A325" s="224" t="s">
        <v>1300</v>
      </c>
      <c r="B325" s="215"/>
      <c r="C325" s="215"/>
      <c r="D325" s="217">
        <f t="shared" ref="D325:E325" si="133">C325*1.1</f>
        <v>0</v>
      </c>
      <c r="E325" s="217">
        <f t="shared" si="133"/>
        <v>0</v>
      </c>
    </row>
    <row r="326" spans="1:5" ht="22.05" hidden="1" customHeight="1" outlineLevel="1">
      <c r="A326" s="218" t="s">
        <v>1301</v>
      </c>
      <c r="B326" s="215">
        <v>33407771.09</v>
      </c>
      <c r="C326" s="215">
        <f>C319+C323</f>
        <v>32407771.09</v>
      </c>
      <c r="D326" s="215">
        <f>D319+D323</f>
        <v>35648548.199000001</v>
      </c>
      <c r="E326" s="215">
        <f>E319+E323</f>
        <v>39213403.018900007</v>
      </c>
    </row>
    <row r="327" spans="1:5" ht="22.05" hidden="1" customHeight="1" outlineLevel="1">
      <c r="B327" s="208"/>
      <c r="C327" s="208"/>
      <c r="D327" s="208"/>
      <c r="E327" s="208"/>
    </row>
    <row r="328" spans="1:5" ht="22.05" hidden="1" customHeight="1" outlineLevel="1">
      <c r="B328" s="208"/>
      <c r="C328" s="208"/>
      <c r="D328" s="208"/>
      <c r="E328" s="208"/>
    </row>
    <row r="329" spans="1:5" ht="22.05" hidden="1" customHeight="1" outlineLevel="1">
      <c r="A329" s="201" t="s">
        <v>1324</v>
      </c>
      <c r="B329" s="208"/>
      <c r="C329" s="208"/>
      <c r="D329" s="208"/>
      <c r="E329" s="208"/>
    </row>
    <row r="330" spans="1:5" ht="22.05" hidden="1" customHeight="1" outlineLevel="1">
      <c r="A330" s="210" t="s">
        <v>1287</v>
      </c>
      <c r="B330" s="822" t="s">
        <v>1257</v>
      </c>
      <c r="C330" s="822" t="s">
        <v>1258</v>
      </c>
      <c r="D330" s="824" t="s">
        <v>1259</v>
      </c>
      <c r="E330" s="825"/>
    </row>
    <row r="331" spans="1:5" ht="22.05" hidden="1" customHeight="1" outlineLevel="1">
      <c r="A331" s="211"/>
      <c r="B331" s="823"/>
      <c r="C331" s="823"/>
      <c r="D331" s="788" t="s">
        <v>1260</v>
      </c>
      <c r="E331" s="788" t="s">
        <v>1261</v>
      </c>
    </row>
    <row r="332" spans="1:5" ht="22.05" hidden="1" customHeight="1" outlineLevel="1">
      <c r="A332" s="218" t="s">
        <v>1298</v>
      </c>
      <c r="B332" s="215">
        <v>34905343.037</v>
      </c>
      <c r="C332" s="215">
        <f>SUM(C333:C335)</f>
        <v>24480343.037</v>
      </c>
      <c r="D332" s="215">
        <f>SUM(D333:D335)</f>
        <v>26928377.340700001</v>
      </c>
      <c r="E332" s="215">
        <f>SUM(E333:E335)</f>
        <v>29621215.074770004</v>
      </c>
    </row>
    <row r="333" spans="1:5" ht="22.05" hidden="1" customHeight="1" outlineLevel="1">
      <c r="A333" s="224" t="s">
        <v>1288</v>
      </c>
      <c r="B333" s="217">
        <v>17724304.037</v>
      </c>
      <c r="C333" s="217">
        <f>'Itemized Budget 2026-27'!E905</f>
        <v>17724304.037</v>
      </c>
      <c r="D333" s="217">
        <f t="shared" ref="D333:E333" si="134">C333*1.1</f>
        <v>19496734.440700002</v>
      </c>
      <c r="E333" s="217">
        <f t="shared" si="134"/>
        <v>21446407.884770002</v>
      </c>
    </row>
    <row r="334" spans="1:5" ht="22.05" hidden="1" customHeight="1" outlineLevel="1">
      <c r="A334" s="224" t="s">
        <v>1289</v>
      </c>
      <c r="B334" s="217">
        <v>16744539</v>
      </c>
      <c r="C334" s="217">
        <f>'Itemized Budget 2026-27'!E953-'Itemized Budget 2026-27'!E949-'Itemized Budget 2026-27'!E905</f>
        <v>6556039</v>
      </c>
      <c r="D334" s="217">
        <f t="shared" ref="D334:E334" si="135">C334*1.1</f>
        <v>7211642.9000000004</v>
      </c>
      <c r="E334" s="217">
        <f t="shared" si="135"/>
        <v>7932807.1900000013</v>
      </c>
    </row>
    <row r="335" spans="1:5" ht="22.05" hidden="1" customHeight="1" outlineLevel="1">
      <c r="A335" s="224" t="s">
        <v>1290</v>
      </c>
      <c r="B335" s="217">
        <v>436500</v>
      </c>
      <c r="C335" s="217">
        <f>'Itemized Budget 2026-27'!E949</f>
        <v>200000</v>
      </c>
      <c r="D335" s="217">
        <f t="shared" ref="D335:E335" si="136">C335*1.1</f>
        <v>220000.00000000003</v>
      </c>
      <c r="E335" s="217">
        <f t="shared" si="136"/>
        <v>242000.00000000006</v>
      </c>
    </row>
    <row r="336" spans="1:5" ht="22.05" hidden="1" customHeight="1" outlineLevel="1">
      <c r="A336" s="218" t="s">
        <v>1291</v>
      </c>
      <c r="B336" s="215">
        <v>3500000</v>
      </c>
      <c r="C336" s="215">
        <f>SUM(C337:C338)</f>
        <v>6000000</v>
      </c>
      <c r="D336" s="215">
        <f t="shared" ref="D336:E336" si="137">SUM(D337:D338)</f>
        <v>6600000.0000000009</v>
      </c>
      <c r="E336" s="215">
        <f t="shared" si="137"/>
        <v>7260000.0000000019</v>
      </c>
    </row>
    <row r="337" spans="1:5" ht="22.05" hidden="1" customHeight="1" outlineLevel="1">
      <c r="A337" s="224" t="s">
        <v>1299</v>
      </c>
      <c r="B337" s="217">
        <v>3500000</v>
      </c>
      <c r="C337" s="217">
        <f>'Itemized Budget 2026-27'!E961</f>
        <v>6000000</v>
      </c>
      <c r="D337" s="217">
        <f t="shared" ref="D337:E337" si="138">C337*1.1</f>
        <v>6600000.0000000009</v>
      </c>
      <c r="E337" s="217">
        <f t="shared" si="138"/>
        <v>7260000.0000000019</v>
      </c>
    </row>
    <row r="338" spans="1:5" ht="22.05" hidden="1" customHeight="1" outlineLevel="1">
      <c r="A338" s="224" t="s">
        <v>1300</v>
      </c>
      <c r="B338" s="215"/>
      <c r="C338" s="215"/>
      <c r="D338" s="217">
        <f t="shared" ref="D338:E338" si="139">C338*1.1</f>
        <v>0</v>
      </c>
      <c r="E338" s="217">
        <f t="shared" si="139"/>
        <v>0</v>
      </c>
    </row>
    <row r="339" spans="1:5" ht="22.05" hidden="1" customHeight="1" outlineLevel="1">
      <c r="A339" s="218" t="s">
        <v>1301</v>
      </c>
      <c r="B339" s="215">
        <v>38405343.037</v>
      </c>
      <c r="C339" s="215">
        <f>C332+C336</f>
        <v>30480343.037</v>
      </c>
      <c r="D339" s="215">
        <f>D332+D336</f>
        <v>33528377.340700001</v>
      </c>
      <c r="E339" s="215">
        <f>E332+E336</f>
        <v>36881215.074770004</v>
      </c>
    </row>
    <row r="340" spans="1:5" ht="22.05" hidden="1" customHeight="1" outlineLevel="1"/>
    <row r="341" spans="1:5" ht="22.05" hidden="1" customHeight="1" outlineLevel="1">
      <c r="A341" s="201" t="s">
        <v>1325</v>
      </c>
    </row>
    <row r="342" spans="1:5" ht="22.05" hidden="1" customHeight="1" outlineLevel="1">
      <c r="A342" s="201" t="s">
        <v>1326</v>
      </c>
      <c r="B342" s="208"/>
      <c r="C342" s="208"/>
      <c r="D342" s="208"/>
      <c r="E342" s="208"/>
    </row>
    <row r="343" spans="1:5" ht="22.05" hidden="1" customHeight="1" outlineLevel="1">
      <c r="A343" s="210" t="s">
        <v>1287</v>
      </c>
      <c r="B343" s="822" t="s">
        <v>1257</v>
      </c>
      <c r="C343" s="822" t="s">
        <v>1258</v>
      </c>
      <c r="D343" s="824" t="s">
        <v>1259</v>
      </c>
      <c r="E343" s="825"/>
    </row>
    <row r="344" spans="1:5" ht="22.05" hidden="1" customHeight="1" outlineLevel="1">
      <c r="A344" s="211"/>
      <c r="B344" s="823"/>
      <c r="C344" s="823"/>
      <c r="D344" s="788" t="s">
        <v>1260</v>
      </c>
      <c r="E344" s="788" t="s">
        <v>1261</v>
      </c>
    </row>
    <row r="345" spans="1:5" ht="22.05" hidden="1" customHeight="1" outlineLevel="1">
      <c r="A345" s="218" t="s">
        <v>1298</v>
      </c>
      <c r="B345" s="215">
        <v>37601304.273999996</v>
      </c>
      <c r="C345" s="215">
        <f>SUM(C346:C348)</f>
        <v>37103304.274000004</v>
      </c>
      <c r="D345" s="215">
        <f>SUM(D346:D348)</f>
        <v>40813634.701400012</v>
      </c>
      <c r="E345" s="215">
        <f>SUM(E346:E348)</f>
        <v>44894998.171540014</v>
      </c>
    </row>
    <row r="346" spans="1:5" ht="22.05" hidden="1" customHeight="1" outlineLevel="1">
      <c r="A346" s="224" t="s">
        <v>1288</v>
      </c>
      <c r="B346" s="217">
        <v>31556304.274</v>
      </c>
      <c r="C346" s="233">
        <f>'Itemized Budget 2026-27'!E966</f>
        <v>31556304.274</v>
      </c>
      <c r="D346" s="217">
        <f t="shared" ref="D346:E346" si="140">C346*1.1</f>
        <v>34711934.701400004</v>
      </c>
      <c r="E346" s="217">
        <f t="shared" si="140"/>
        <v>38183128.171540007</v>
      </c>
    </row>
    <row r="347" spans="1:5" ht="22.05" hidden="1" customHeight="1" outlineLevel="1">
      <c r="A347" s="224" t="s">
        <v>1289</v>
      </c>
      <c r="B347" s="217">
        <v>5320000</v>
      </c>
      <c r="C347" s="217">
        <f>'Itemized Budget 2026-27'!E1008-'Itemized Budget 2026-27'!E1004-'Itemized Budget 2026-27'!E966</f>
        <v>5372000.0000000037</v>
      </c>
      <c r="D347" s="217">
        <f t="shared" ref="D347:E347" si="141">C347*1.1</f>
        <v>5909200.0000000047</v>
      </c>
      <c r="E347" s="217">
        <f t="shared" si="141"/>
        <v>6500120.0000000056</v>
      </c>
    </row>
    <row r="348" spans="1:5" ht="22.05" hidden="1" customHeight="1" outlineLevel="1">
      <c r="A348" s="224" t="s">
        <v>1290</v>
      </c>
      <c r="B348" s="217">
        <v>725000</v>
      </c>
      <c r="C348" s="217">
        <f>'Itemized Budget 2026-27'!E1004</f>
        <v>175000</v>
      </c>
      <c r="D348" s="217">
        <f t="shared" ref="D348:E348" si="142">C348*1.1</f>
        <v>192500.00000000003</v>
      </c>
      <c r="E348" s="217">
        <f t="shared" si="142"/>
        <v>211750.00000000006</v>
      </c>
    </row>
    <row r="349" spans="1:5" ht="22.05" hidden="1" customHeight="1" outlineLevel="1">
      <c r="A349" s="218" t="s">
        <v>1291</v>
      </c>
      <c r="B349" s="215">
        <v>900000</v>
      </c>
      <c r="C349" s="215">
        <f>SUM(C350:C351)</f>
        <v>2900000</v>
      </c>
      <c r="D349" s="215">
        <f t="shared" ref="D349:E349" si="143">SUM(D350:D351)</f>
        <v>3190000.0000000005</v>
      </c>
      <c r="E349" s="215">
        <f t="shared" si="143"/>
        <v>3509000.0000000009</v>
      </c>
    </row>
    <row r="350" spans="1:5" ht="22.05" hidden="1" customHeight="1" outlineLevel="1">
      <c r="A350" s="224" t="s">
        <v>1299</v>
      </c>
      <c r="B350" s="217">
        <v>900000</v>
      </c>
      <c r="C350" s="217">
        <f>'Itemized Budget 2026-27'!E1014</f>
        <v>2900000</v>
      </c>
      <c r="D350" s="217">
        <f t="shared" ref="D350:E350" si="144">C350*1.1</f>
        <v>3190000.0000000005</v>
      </c>
      <c r="E350" s="217">
        <f t="shared" si="144"/>
        <v>3509000.0000000009</v>
      </c>
    </row>
    <row r="351" spans="1:5" ht="22.05" hidden="1" customHeight="1" outlineLevel="1">
      <c r="A351" s="224" t="s">
        <v>1300</v>
      </c>
      <c r="B351" s="217"/>
      <c r="C351" s="217"/>
      <c r="D351" s="217">
        <f t="shared" ref="D351:E351" si="145">C351*1.1</f>
        <v>0</v>
      </c>
      <c r="E351" s="217">
        <f t="shared" si="145"/>
        <v>0</v>
      </c>
    </row>
    <row r="352" spans="1:5" ht="22.05" hidden="1" customHeight="1" outlineLevel="1">
      <c r="A352" s="218" t="s">
        <v>1301</v>
      </c>
      <c r="B352" s="215">
        <v>38501304.273999996</v>
      </c>
      <c r="C352" s="215">
        <f>C345+C349</f>
        <v>40003304.274000004</v>
      </c>
      <c r="D352" s="215">
        <f>D345+D349</f>
        <v>44003634.701400012</v>
      </c>
      <c r="E352" s="215">
        <f>E345+E349</f>
        <v>48403998.171540014</v>
      </c>
    </row>
    <row r="353" spans="1:5" ht="22.05" hidden="1" customHeight="1" outlineLevel="1"/>
    <row r="354" spans="1:5" ht="22.05" hidden="1" customHeight="1" outlineLevel="1">
      <c r="A354" s="201" t="s">
        <v>270</v>
      </c>
    </row>
    <row r="355" spans="1:5" ht="22.05" hidden="1" customHeight="1" outlineLevel="1">
      <c r="A355" s="201" t="s">
        <v>1327</v>
      </c>
      <c r="B355" s="208"/>
      <c r="C355" s="208"/>
      <c r="D355" s="208"/>
      <c r="E355" s="208"/>
    </row>
    <row r="356" spans="1:5" ht="22.05" hidden="1" customHeight="1" outlineLevel="1">
      <c r="A356" s="210" t="s">
        <v>1287</v>
      </c>
      <c r="B356" s="822" t="s">
        <v>1257</v>
      </c>
      <c r="C356" s="822" t="s">
        <v>1258</v>
      </c>
      <c r="D356" s="824" t="s">
        <v>1259</v>
      </c>
      <c r="E356" s="825"/>
    </row>
    <row r="357" spans="1:5" ht="22.05" hidden="1" customHeight="1" outlineLevel="1">
      <c r="A357" s="211"/>
      <c r="B357" s="823"/>
      <c r="C357" s="823"/>
      <c r="D357" s="788" t="s">
        <v>1260</v>
      </c>
      <c r="E357" s="788" t="s">
        <v>1261</v>
      </c>
    </row>
    <row r="358" spans="1:5" ht="22.05" hidden="1" customHeight="1" outlineLevel="1">
      <c r="A358" s="218" t="s">
        <v>1298</v>
      </c>
      <c r="B358" s="215">
        <v>8987303.8000000007</v>
      </c>
      <c r="C358" s="215">
        <f>SUM(C359:C361)</f>
        <v>8177303.7999999998</v>
      </c>
      <c r="D358" s="215">
        <f>SUM(D359:D361)</f>
        <v>8995034.1799999997</v>
      </c>
      <c r="E358" s="215">
        <f>SUM(E359:E361)</f>
        <v>9894537.5980000012</v>
      </c>
    </row>
    <row r="359" spans="1:5" ht="22.05" hidden="1" customHeight="1" outlineLevel="1">
      <c r="A359" s="224" t="s">
        <v>1288</v>
      </c>
      <c r="B359" s="217">
        <v>3892303.8</v>
      </c>
      <c r="C359" s="217">
        <f>'Itemized Budget 2026-27'!E1018</f>
        <v>3892303.8</v>
      </c>
      <c r="D359" s="217">
        <f t="shared" ref="D359:E359" si="146">C359*1.1</f>
        <v>4281534.18</v>
      </c>
      <c r="E359" s="217">
        <f t="shared" si="146"/>
        <v>4709687.5980000002</v>
      </c>
    </row>
    <row r="360" spans="1:5" ht="22.05" hidden="1" customHeight="1" outlineLevel="1">
      <c r="A360" s="224" t="s">
        <v>1289</v>
      </c>
      <c r="B360" s="217">
        <v>4695000</v>
      </c>
      <c r="C360" s="217">
        <f>'Itemized Budget 2026-27'!E1058-'Itemized Budget 2026-27'!E1054-'Itemized Budget 2026-27'!E1018</f>
        <v>4135000</v>
      </c>
      <c r="D360" s="217">
        <f t="shared" ref="D360:E360" si="147">C360*1.1</f>
        <v>4548500</v>
      </c>
      <c r="E360" s="217">
        <f t="shared" si="147"/>
        <v>5003350</v>
      </c>
    </row>
    <row r="361" spans="1:5" ht="22.05" hidden="1" customHeight="1" outlineLevel="1">
      <c r="A361" s="224" t="s">
        <v>1290</v>
      </c>
      <c r="B361" s="217">
        <v>400000</v>
      </c>
      <c r="C361" s="217">
        <f>'Itemized Budget 2026-27'!E1054</f>
        <v>150000</v>
      </c>
      <c r="D361" s="217">
        <f t="shared" ref="D361:E361" si="148">C361*1.1</f>
        <v>165000</v>
      </c>
      <c r="E361" s="217">
        <f t="shared" si="148"/>
        <v>181500.00000000003</v>
      </c>
    </row>
    <row r="362" spans="1:5" ht="22.05" hidden="1" customHeight="1" outlineLevel="1">
      <c r="A362" s="218" t="s">
        <v>1291</v>
      </c>
      <c r="B362" s="215">
        <v>8525000</v>
      </c>
      <c r="C362" s="215">
        <f>SUM(C363:C364)</f>
        <v>14900000</v>
      </c>
      <c r="D362" s="215">
        <f t="shared" ref="D362:E362" si="149">SUM(D363:D364)</f>
        <v>16390000.000000002</v>
      </c>
      <c r="E362" s="215">
        <f t="shared" si="149"/>
        <v>18029000.000000004</v>
      </c>
    </row>
    <row r="363" spans="1:5" ht="22.05" hidden="1" customHeight="1" outlineLevel="1">
      <c r="A363" s="224" t="s">
        <v>1299</v>
      </c>
      <c r="B363" s="217">
        <v>8525000</v>
      </c>
      <c r="C363" s="217">
        <f>'Itemized Budget 2026-27'!E1068</f>
        <v>14900000</v>
      </c>
      <c r="D363" s="217">
        <f t="shared" ref="D363:E363" si="150">C363*1.1</f>
        <v>16390000.000000002</v>
      </c>
      <c r="E363" s="217">
        <f t="shared" si="150"/>
        <v>18029000.000000004</v>
      </c>
    </row>
    <row r="364" spans="1:5" ht="22.05" hidden="1" customHeight="1" outlineLevel="1">
      <c r="A364" s="224" t="s">
        <v>1300</v>
      </c>
      <c r="B364" s="217">
        <v>0</v>
      </c>
      <c r="C364" s="217">
        <v>0</v>
      </c>
      <c r="D364" s="217">
        <f t="shared" ref="D364:E364" si="151">C364*1.1</f>
        <v>0</v>
      </c>
      <c r="E364" s="217">
        <f t="shared" si="151"/>
        <v>0</v>
      </c>
    </row>
    <row r="365" spans="1:5" ht="22.05" hidden="1" customHeight="1" outlineLevel="1">
      <c r="A365" s="218" t="s">
        <v>1301</v>
      </c>
      <c r="B365" s="215">
        <v>17512303.800000001</v>
      </c>
      <c r="C365" s="215">
        <f>C358+C362</f>
        <v>23077303.800000001</v>
      </c>
      <c r="D365" s="215">
        <f>D358+D362</f>
        <v>25385034.18</v>
      </c>
      <c r="E365" s="215">
        <f>E358+E362</f>
        <v>27923537.598000005</v>
      </c>
    </row>
    <row r="366" spans="1:5" ht="22.05" hidden="1" customHeight="1" outlineLevel="1">
      <c r="A366" s="237"/>
    </row>
    <row r="367" spans="1:5" ht="22.05" hidden="1" customHeight="1" outlineLevel="1">
      <c r="A367" s="218" t="s">
        <v>283</v>
      </c>
    </row>
    <row r="368" spans="1:5" ht="22.05" hidden="1" customHeight="1" outlineLevel="1">
      <c r="A368" s="218" t="s">
        <v>1320</v>
      </c>
      <c r="B368" s="208"/>
      <c r="C368" s="208"/>
      <c r="D368" s="208"/>
      <c r="E368" s="208"/>
    </row>
    <row r="369" spans="1:5" ht="22.05" hidden="1" customHeight="1" outlineLevel="1">
      <c r="A369" s="210" t="s">
        <v>1287</v>
      </c>
      <c r="B369" s="822" t="s">
        <v>1257</v>
      </c>
      <c r="C369" s="822" t="s">
        <v>1258</v>
      </c>
      <c r="D369" s="824" t="s">
        <v>1259</v>
      </c>
      <c r="E369" s="825"/>
    </row>
    <row r="370" spans="1:5" ht="22.05" hidden="1" customHeight="1" outlineLevel="1">
      <c r="A370" s="211"/>
      <c r="B370" s="823"/>
      <c r="C370" s="823"/>
      <c r="D370" s="788" t="s">
        <v>1260</v>
      </c>
      <c r="E370" s="788" t="s">
        <v>1261</v>
      </c>
    </row>
    <row r="371" spans="1:5" ht="22.05" hidden="1" customHeight="1" outlineLevel="1">
      <c r="A371" s="218" t="s">
        <v>1298</v>
      </c>
      <c r="B371" s="215">
        <v>42628308.600000001</v>
      </c>
      <c r="C371" s="215">
        <f>SUM(C372:C374)</f>
        <v>40511166.600000001</v>
      </c>
      <c r="D371" s="215">
        <f>SUM(D372:D374)</f>
        <v>44562283.260000005</v>
      </c>
      <c r="E371" s="215">
        <f>SUM(E372:E374)</f>
        <v>49018511.58600001</v>
      </c>
    </row>
    <row r="372" spans="1:5" ht="22.05" hidden="1" customHeight="1" outlineLevel="1">
      <c r="A372" s="224" t="s">
        <v>1288</v>
      </c>
      <c r="B372" s="217">
        <v>9088140.5999999996</v>
      </c>
      <c r="C372" s="217">
        <f>'Itemized Budget 2026-27'!E1077</f>
        <v>9088140.5999999996</v>
      </c>
      <c r="D372" s="217">
        <f t="shared" ref="D372:E372" si="152">C372*1.1</f>
        <v>9996954.6600000001</v>
      </c>
      <c r="E372" s="217">
        <f t="shared" si="152"/>
        <v>10996650.126</v>
      </c>
    </row>
    <row r="373" spans="1:5" ht="22.05" hidden="1" customHeight="1" outlineLevel="1">
      <c r="A373" s="224" t="s">
        <v>1289</v>
      </c>
      <c r="B373" s="217">
        <v>33135371.5</v>
      </c>
      <c r="C373" s="217">
        <f>'Itemized Budget 2026-27'!E1133-'Itemized Budget 2026-27'!E1131-'Itemized Budget 2026-27'!E1127-'Itemized Budget 2026-27'!E1125-'Itemized Budget 2026-27'!E1077</f>
        <v>30955950.5</v>
      </c>
      <c r="D373" s="217">
        <f t="shared" ref="D373:E373" si="153">C373*1.1</f>
        <v>34051545.550000004</v>
      </c>
      <c r="E373" s="217">
        <f t="shared" si="153"/>
        <v>37456700.105000012</v>
      </c>
    </row>
    <row r="374" spans="1:5" ht="22.05" hidden="1" customHeight="1" outlineLevel="1">
      <c r="A374" s="224" t="s">
        <v>1290</v>
      </c>
      <c r="B374" s="217">
        <v>404796.5</v>
      </c>
      <c r="C374" s="217">
        <f>'Itemized Budget 2026-27'!E1125+'Itemized Budget 2026-27'!E1127+'Itemized Budget 2026-27'!E1131</f>
        <v>467075.5</v>
      </c>
      <c r="D374" s="217">
        <f t="shared" ref="D374:E374" si="154">C374*1.1</f>
        <v>513783.05000000005</v>
      </c>
      <c r="E374" s="217">
        <f t="shared" si="154"/>
        <v>565161.3550000001</v>
      </c>
    </row>
    <row r="375" spans="1:5" ht="22.05" hidden="1" customHeight="1" outlineLevel="1">
      <c r="A375" s="218" t="s">
        <v>1291</v>
      </c>
      <c r="B375" s="215">
        <v>0</v>
      </c>
      <c r="C375" s="215">
        <f>SUM(C376:C377)</f>
        <v>0</v>
      </c>
      <c r="D375" s="215">
        <f t="shared" ref="D375:E375" si="155">SUM(D376:D377)</f>
        <v>0</v>
      </c>
      <c r="E375" s="215">
        <f t="shared" si="155"/>
        <v>0</v>
      </c>
    </row>
    <row r="376" spans="1:5" ht="22.05" hidden="1" customHeight="1" outlineLevel="1">
      <c r="A376" s="224" t="s">
        <v>1299</v>
      </c>
      <c r="B376" s="217"/>
      <c r="C376" s="233"/>
      <c r="D376" s="217">
        <f t="shared" ref="D376:E376" si="156">C376*1.1</f>
        <v>0</v>
      </c>
      <c r="E376" s="217">
        <f t="shared" si="156"/>
        <v>0</v>
      </c>
    </row>
    <row r="377" spans="1:5" ht="22.05" hidden="1" customHeight="1" outlineLevel="1">
      <c r="A377" s="224" t="s">
        <v>1300</v>
      </c>
      <c r="B377" s="217">
        <v>0</v>
      </c>
      <c r="C377" s="217">
        <v>0</v>
      </c>
      <c r="D377" s="217">
        <f t="shared" ref="D377:E377" si="157">C377*1.1</f>
        <v>0</v>
      </c>
      <c r="E377" s="217">
        <f t="shared" si="157"/>
        <v>0</v>
      </c>
    </row>
    <row r="378" spans="1:5" ht="22.05" hidden="1" customHeight="1" outlineLevel="1">
      <c r="A378" s="218" t="s">
        <v>1301</v>
      </c>
      <c r="B378" s="215">
        <v>42628308.600000001</v>
      </c>
      <c r="C378" s="215">
        <f>C371+C375</f>
        <v>40511166.600000001</v>
      </c>
      <c r="D378" s="215">
        <f>D371+D375</f>
        <v>44562283.260000005</v>
      </c>
      <c r="E378" s="215">
        <f>E371+E375</f>
        <v>49018511.58600001</v>
      </c>
    </row>
    <row r="379" spans="1:5" ht="22.05" hidden="1" customHeight="1" outlineLevel="1">
      <c r="A379" s="201"/>
      <c r="B379" s="208"/>
      <c r="C379" s="208"/>
      <c r="D379" s="208"/>
      <c r="E379" s="208"/>
    </row>
    <row r="380" spans="1:5" ht="22.05" hidden="1" customHeight="1" outlineLevel="1">
      <c r="A380" s="201"/>
      <c r="B380" s="208"/>
      <c r="C380" s="208"/>
      <c r="D380" s="208"/>
      <c r="E380" s="208"/>
    </row>
    <row r="381" spans="1:5" ht="22.05" hidden="1" customHeight="1" outlineLevel="1">
      <c r="A381" s="238" t="s">
        <v>1321</v>
      </c>
      <c r="B381" s="208"/>
      <c r="C381" s="208"/>
      <c r="D381" s="208"/>
      <c r="E381" s="208"/>
    </row>
    <row r="382" spans="1:5" ht="22.05" hidden="1" customHeight="1" outlineLevel="1">
      <c r="A382" s="210" t="s">
        <v>1287</v>
      </c>
      <c r="B382" s="822" t="s">
        <v>1257</v>
      </c>
      <c r="C382" s="822" t="s">
        <v>1258</v>
      </c>
      <c r="D382" s="824" t="s">
        <v>1259</v>
      </c>
      <c r="E382" s="825"/>
    </row>
    <row r="383" spans="1:5" ht="22.05" hidden="1" customHeight="1" outlineLevel="1">
      <c r="A383" s="211"/>
      <c r="B383" s="823"/>
      <c r="C383" s="823"/>
      <c r="D383" s="788" t="s">
        <v>1260</v>
      </c>
      <c r="E383" s="788" t="s">
        <v>1261</v>
      </c>
    </row>
    <row r="384" spans="1:5" ht="22.05" hidden="1" customHeight="1" outlineLevel="1">
      <c r="A384" s="218" t="s">
        <v>1298</v>
      </c>
      <c r="B384" s="215">
        <v>14951556.199999999</v>
      </c>
      <c r="C384" s="215">
        <f>C385+C386+C387</f>
        <v>11526698.199999999</v>
      </c>
      <c r="D384" s="215">
        <f>SUM(D385:D387)</f>
        <v>12679368.02</v>
      </c>
      <c r="E384" s="215">
        <f>SUM(E385:E387)</f>
        <v>13947304.822000001</v>
      </c>
    </row>
    <row r="385" spans="1:5" ht="22.05" hidden="1" customHeight="1" outlineLevel="1">
      <c r="A385" s="224" t="s">
        <v>1288</v>
      </c>
      <c r="B385" s="217">
        <v>5999556.2000000002</v>
      </c>
      <c r="C385" s="217">
        <f>'Itemized Budget 2026-27'!E1136</f>
        <v>5999556.2000000002</v>
      </c>
      <c r="D385" s="217">
        <f t="shared" ref="D385:E385" si="158">C385*1.1</f>
        <v>6599511.8200000003</v>
      </c>
      <c r="E385" s="217">
        <f t="shared" si="158"/>
        <v>7259463.0020000013</v>
      </c>
    </row>
    <row r="386" spans="1:5" ht="22.05" hidden="1" customHeight="1" outlineLevel="1">
      <c r="A386" s="224" t="s">
        <v>1289</v>
      </c>
      <c r="B386" s="217">
        <v>8723771.0999999996</v>
      </c>
      <c r="C386" s="217">
        <f>'Itemized Budget 2026-27'!E1190-'Itemized Budget 2026-27'!E1186-'Itemized Budget 2026-27'!E1184-'Itemized Budget 2026-27'!E1136</f>
        <v>5298913.0999999987</v>
      </c>
      <c r="D386" s="217">
        <f t="shared" ref="D386:E386" si="159">C386*1.1</f>
        <v>5828804.4099999992</v>
      </c>
      <c r="E386" s="217">
        <f t="shared" si="159"/>
        <v>6411684.8509999998</v>
      </c>
    </row>
    <row r="387" spans="1:5" ht="22.05" hidden="1" customHeight="1" outlineLevel="1">
      <c r="A387" s="224" t="s">
        <v>1290</v>
      </c>
      <c r="B387" s="217">
        <v>228228.9</v>
      </c>
      <c r="C387" s="217">
        <f>'Itemized Budget 2026-27'!E1184+'Itemized Budget 2026-27'!E1186</f>
        <v>228228.9</v>
      </c>
      <c r="D387" s="217">
        <f t="shared" ref="D387:E387" si="160">C387*1.1</f>
        <v>251051.79</v>
      </c>
      <c r="E387" s="217">
        <f t="shared" si="160"/>
        <v>276156.96900000004</v>
      </c>
    </row>
    <row r="388" spans="1:5" ht="22.05" hidden="1" customHeight="1" outlineLevel="1">
      <c r="A388" s="218" t="s">
        <v>1291</v>
      </c>
      <c r="B388" s="215">
        <v>10302808</v>
      </c>
      <c r="C388" s="215">
        <f>SUM(C389:C390)</f>
        <v>19702808</v>
      </c>
      <c r="D388" s="215">
        <f t="shared" ref="D388:E388" si="161">SUM(D389:D390)</f>
        <v>21673088.800000001</v>
      </c>
      <c r="E388" s="215">
        <f t="shared" si="161"/>
        <v>23840397.680000003</v>
      </c>
    </row>
    <row r="389" spans="1:5" ht="22.05" hidden="1" customHeight="1" outlineLevel="1">
      <c r="A389" s="224" t="s">
        <v>1299</v>
      </c>
      <c r="B389" s="217">
        <v>10302808</v>
      </c>
      <c r="C389" s="217">
        <f>'Itemized Budget 2026-27'!E1200</f>
        <v>19702808</v>
      </c>
      <c r="D389" s="217">
        <f t="shared" ref="D389:E389" si="162">C389*1.1</f>
        <v>21673088.800000001</v>
      </c>
      <c r="E389" s="217">
        <f t="shared" si="162"/>
        <v>23840397.680000003</v>
      </c>
    </row>
    <row r="390" spans="1:5" ht="22.05" hidden="1" customHeight="1" outlineLevel="1">
      <c r="A390" s="224" t="s">
        <v>1300</v>
      </c>
      <c r="B390" s="217">
        <v>0</v>
      </c>
      <c r="C390" s="217">
        <v>0</v>
      </c>
      <c r="D390" s="217">
        <f t="shared" ref="D390:E390" si="163">C390*1.1</f>
        <v>0</v>
      </c>
      <c r="E390" s="217">
        <f t="shared" si="163"/>
        <v>0</v>
      </c>
    </row>
    <row r="391" spans="1:5" ht="22.05" hidden="1" customHeight="1" outlineLevel="1">
      <c r="A391" s="218" t="s">
        <v>1301</v>
      </c>
      <c r="B391" s="215">
        <v>25254364.199999999</v>
      </c>
      <c r="C391" s="215">
        <f>C384+C388</f>
        <v>31229506.199999999</v>
      </c>
      <c r="D391" s="215">
        <f>D384+D388</f>
        <v>34352456.82</v>
      </c>
      <c r="E391" s="215">
        <f>E384+E388</f>
        <v>37787702.502000004</v>
      </c>
    </row>
    <row r="392" spans="1:5" ht="22.05" customHeight="1" collapsed="1"/>
    <row r="393" spans="1:5" ht="22.05" customHeight="1">
      <c r="A393" s="201" t="s">
        <v>313</v>
      </c>
      <c r="B393" s="233"/>
      <c r="C393" s="208"/>
    </row>
    <row r="394" spans="1:5" ht="22.05" hidden="1" customHeight="1" outlineLevel="1">
      <c r="A394" s="201" t="s">
        <v>1255</v>
      </c>
      <c r="B394" s="209"/>
      <c r="C394" s="209"/>
      <c r="D394" s="209"/>
      <c r="E394" s="209"/>
    </row>
    <row r="395" spans="1:5" ht="22.05" hidden="1" customHeight="1" outlineLevel="1">
      <c r="A395" s="210" t="s">
        <v>1256</v>
      </c>
      <c r="B395" s="822" t="s">
        <v>1257</v>
      </c>
      <c r="C395" s="822" t="s">
        <v>1258</v>
      </c>
      <c r="D395" s="824" t="s">
        <v>1259</v>
      </c>
      <c r="E395" s="825"/>
    </row>
    <row r="396" spans="1:5" ht="22.05" hidden="1" customHeight="1" outlineLevel="1">
      <c r="A396" s="211"/>
      <c r="B396" s="823"/>
      <c r="C396" s="823"/>
      <c r="D396" s="788" t="s">
        <v>1260</v>
      </c>
      <c r="E396" s="788" t="s">
        <v>1261</v>
      </c>
    </row>
    <row r="397" spans="1:5" ht="22.05" hidden="1" customHeight="1" outlineLevel="1">
      <c r="A397" s="212" t="s">
        <v>315</v>
      </c>
      <c r="B397" s="239">
        <v>120421241</v>
      </c>
      <c r="C397" s="239">
        <f>C437</f>
        <v>118491914.72</v>
      </c>
      <c r="D397" s="239">
        <f>D437</f>
        <v>130341106.192</v>
      </c>
      <c r="E397" s="239">
        <f>E437</f>
        <v>143375216.81120002</v>
      </c>
    </row>
    <row r="398" spans="1:5" ht="22.05" hidden="1" customHeight="1" outlineLevel="1">
      <c r="A398" s="214" t="s">
        <v>314</v>
      </c>
      <c r="B398" s="240">
        <v>120421241</v>
      </c>
      <c r="C398" s="240">
        <f>C397</f>
        <v>118491914.72</v>
      </c>
      <c r="D398" s="240">
        <f>D397</f>
        <v>130341106.192</v>
      </c>
      <c r="E398" s="240">
        <f>E397</f>
        <v>143375216.81120002</v>
      </c>
    </row>
    <row r="399" spans="1:5" ht="22.05" hidden="1" customHeight="1" outlineLevel="1">
      <c r="A399" s="241" t="s">
        <v>331</v>
      </c>
      <c r="B399" s="242">
        <v>14904365.85</v>
      </c>
      <c r="C399" s="242">
        <f>C451</f>
        <v>11529640.85</v>
      </c>
      <c r="D399" s="242">
        <f>D451</f>
        <v>12682604.935000002</v>
      </c>
      <c r="E399" s="242">
        <f>E451</f>
        <v>13950865.428500002</v>
      </c>
    </row>
    <row r="400" spans="1:5" ht="22.05" hidden="1" customHeight="1" outlineLevel="1">
      <c r="A400" s="212" t="s">
        <v>1328</v>
      </c>
      <c r="B400" s="243">
        <v>309754351.64999998</v>
      </c>
      <c r="C400" s="243">
        <f>C463</f>
        <v>542379123.92999995</v>
      </c>
      <c r="D400" s="243">
        <f>D463</f>
        <v>596617036.32299995</v>
      </c>
      <c r="E400" s="243">
        <f>E463</f>
        <v>656278739.95530009</v>
      </c>
    </row>
    <row r="401" spans="1:5" ht="22.05" hidden="1" customHeight="1" outlineLevel="1">
      <c r="A401" s="212" t="s">
        <v>1329</v>
      </c>
      <c r="B401" s="243">
        <v>103997669</v>
      </c>
      <c r="C401" s="243">
        <f>C477</f>
        <v>131497497</v>
      </c>
      <c r="D401" s="243">
        <f>D477</f>
        <v>144647246.70000002</v>
      </c>
      <c r="E401" s="243">
        <f>E477</f>
        <v>159111971.37000003</v>
      </c>
    </row>
    <row r="402" spans="1:5" ht="22.05" hidden="1" customHeight="1" outlineLevel="1">
      <c r="A402" s="214" t="s">
        <v>1330</v>
      </c>
      <c r="B402" s="240">
        <v>428656386.5</v>
      </c>
      <c r="C402" s="240">
        <f>C400+C401+C399</f>
        <v>685406261.77999997</v>
      </c>
      <c r="D402" s="240">
        <f>D400+D401+D399</f>
        <v>753946887.95799994</v>
      </c>
      <c r="E402" s="240">
        <f>E400+E401+E399</f>
        <v>829341576.75380015</v>
      </c>
    </row>
    <row r="403" spans="1:5" ht="22.05" hidden="1" customHeight="1" outlineLevel="1">
      <c r="A403" s="232" t="s">
        <v>1331</v>
      </c>
      <c r="B403" s="243">
        <v>126472388</v>
      </c>
      <c r="C403" s="243">
        <f>C491</f>
        <v>138651839.5</v>
      </c>
      <c r="D403" s="243">
        <f>D491</f>
        <v>152517023.44999999</v>
      </c>
      <c r="E403" s="243">
        <f>E491</f>
        <v>167768725.79500002</v>
      </c>
    </row>
    <row r="404" spans="1:5" ht="22.05" hidden="1" customHeight="1" outlineLevel="1">
      <c r="A404" s="214" t="s">
        <v>1332</v>
      </c>
      <c r="B404" s="240">
        <v>126472388</v>
      </c>
      <c r="C404" s="240">
        <f>C403</f>
        <v>138651839.5</v>
      </c>
      <c r="D404" s="240">
        <f>D403</f>
        <v>152517023.44999999</v>
      </c>
      <c r="E404" s="240">
        <f>E403</f>
        <v>167768725.79500002</v>
      </c>
    </row>
    <row r="405" spans="1:5" ht="22.05" hidden="1" customHeight="1" outlineLevel="1">
      <c r="A405" s="214" t="s">
        <v>1333</v>
      </c>
      <c r="B405" s="240">
        <v>675550015.5</v>
      </c>
      <c r="C405" s="240">
        <f>C402+C404+C398</f>
        <v>942550016</v>
      </c>
      <c r="D405" s="240">
        <f>D402+D404+D398</f>
        <v>1036805017.6</v>
      </c>
      <c r="E405" s="240">
        <f>E402+E404+E398</f>
        <v>1140485519.3600001</v>
      </c>
    </row>
    <row r="406" spans="1:5" ht="22.05" hidden="1" customHeight="1" outlineLevel="1">
      <c r="A406" s="201"/>
      <c r="B406" s="209"/>
      <c r="C406" s="209"/>
      <c r="D406" s="209"/>
      <c r="E406" s="209"/>
    </row>
    <row r="407" spans="1:5" ht="22.05" hidden="1" customHeight="1" outlineLevel="1">
      <c r="A407" s="201"/>
      <c r="B407" s="209"/>
      <c r="C407" s="209"/>
      <c r="D407" s="209"/>
      <c r="E407" s="209"/>
    </row>
    <row r="408" spans="1:5" ht="22.05" hidden="1" customHeight="1" outlineLevel="1">
      <c r="A408" s="201" t="s">
        <v>1334</v>
      </c>
      <c r="B408" s="244"/>
      <c r="C408" s="244"/>
      <c r="D408" s="244"/>
      <c r="E408" s="244"/>
    </row>
    <row r="409" spans="1:5" ht="22.05" hidden="1" customHeight="1" outlineLevel="1">
      <c r="A409" s="218"/>
      <c r="B409" s="209"/>
      <c r="C409" s="209"/>
      <c r="D409" s="209"/>
      <c r="E409" s="209"/>
    </row>
    <row r="410" spans="1:5" ht="22.05" hidden="1" customHeight="1" outlineLevel="1">
      <c r="A410" s="210" t="s">
        <v>1287</v>
      </c>
      <c r="B410" s="822" t="s">
        <v>1257</v>
      </c>
      <c r="C410" s="822" t="s">
        <v>1258</v>
      </c>
      <c r="D410" s="824" t="s">
        <v>1259</v>
      </c>
      <c r="E410" s="825"/>
    </row>
    <row r="411" spans="1:5" ht="22.05" hidden="1" customHeight="1" outlineLevel="1">
      <c r="A411" s="211"/>
      <c r="B411" s="823"/>
      <c r="C411" s="823"/>
      <c r="D411" s="788" t="s">
        <v>1260</v>
      </c>
      <c r="E411" s="788" t="s">
        <v>1261</v>
      </c>
    </row>
    <row r="412" spans="1:5" ht="22.05" hidden="1" customHeight="1" outlineLevel="1">
      <c r="A412" s="214" t="s">
        <v>1298</v>
      </c>
      <c r="B412" s="240">
        <v>166263829.5</v>
      </c>
      <c r="C412" s="240">
        <f>C413+C414+C415</f>
        <v>171683830</v>
      </c>
      <c r="D412" s="240">
        <f>D413+D414+D415</f>
        <v>188852213</v>
      </c>
      <c r="E412" s="240">
        <f>E413+E414+E415</f>
        <v>207737434.30000004</v>
      </c>
    </row>
    <row r="413" spans="1:5" ht="22.05" hidden="1" customHeight="1" outlineLevel="1">
      <c r="A413" s="212" t="s">
        <v>1288</v>
      </c>
      <c r="B413" s="243">
        <v>110407882</v>
      </c>
      <c r="C413" s="243">
        <f>C431+C445+C457+C471+C485</f>
        <v>110407882</v>
      </c>
      <c r="D413" s="243">
        <f t="shared" ref="D413:E413" si="164">D431+D445+D457+D471+D485</f>
        <v>121448670.2</v>
      </c>
      <c r="E413" s="243">
        <f t="shared" si="164"/>
        <v>133593537.22000001</v>
      </c>
    </row>
    <row r="414" spans="1:5" ht="22.05" hidden="1" customHeight="1" outlineLevel="1">
      <c r="A414" s="212" t="s">
        <v>1289</v>
      </c>
      <c r="B414" s="243">
        <v>48282839.5</v>
      </c>
      <c r="C414" s="206">
        <f>C432+C446+C458+C472+C486</f>
        <v>54082840</v>
      </c>
      <c r="D414" s="206">
        <f t="shared" ref="D414:E414" si="165">D432+D446+D458+D472+D486</f>
        <v>59491124</v>
      </c>
      <c r="E414" s="206">
        <f t="shared" si="165"/>
        <v>65440236.400000013</v>
      </c>
    </row>
    <row r="415" spans="1:5" ht="22.05" hidden="1" customHeight="1" outlineLevel="1">
      <c r="A415" s="212" t="s">
        <v>1290</v>
      </c>
      <c r="B415" s="243">
        <v>7573108</v>
      </c>
      <c r="C415" s="245">
        <f>C433+C447+C459+C473+C487</f>
        <v>7193108</v>
      </c>
      <c r="D415" s="245">
        <f t="shared" ref="D415:E415" si="166">D433+D447+D459+D473+D487</f>
        <v>7912418.8000000007</v>
      </c>
      <c r="E415" s="245">
        <f t="shared" si="166"/>
        <v>8703660.6800000016</v>
      </c>
    </row>
    <row r="416" spans="1:5" ht="22.05" hidden="1" customHeight="1" outlineLevel="1">
      <c r="A416" s="214" t="s">
        <v>1291</v>
      </c>
      <c r="B416" s="240">
        <v>509286186</v>
      </c>
      <c r="C416" s="240">
        <f>C417+C418</f>
        <v>770866186</v>
      </c>
      <c r="D416" s="240">
        <f>D417+D418</f>
        <v>847952804.60000002</v>
      </c>
      <c r="E416" s="240">
        <f>E417+E418</f>
        <v>932748085.06000006</v>
      </c>
    </row>
    <row r="417" spans="1:6" ht="22.05" hidden="1" customHeight="1" outlineLevel="1">
      <c r="A417" s="212" t="s">
        <v>1335</v>
      </c>
      <c r="B417" s="243">
        <v>509286186</v>
      </c>
      <c r="C417" s="243">
        <f>C435+C449+C461+C475+C489</f>
        <v>770866186</v>
      </c>
      <c r="D417" s="243">
        <f>D435+D489+D449+D461+D475</f>
        <v>847952804.60000002</v>
      </c>
      <c r="E417" s="243">
        <f>E435+E489+E449+E461+E475</f>
        <v>932748085.06000006</v>
      </c>
    </row>
    <row r="418" spans="1:6" ht="22.05" hidden="1" customHeight="1" outlineLevel="1">
      <c r="A418" s="212" t="s">
        <v>1293</v>
      </c>
      <c r="B418" s="243">
        <v>0</v>
      </c>
      <c r="C418" s="243">
        <f>C436+C490+C450+C462+C476</f>
        <v>0</v>
      </c>
      <c r="D418" s="243">
        <f>D436+D490+D450+D462+D476</f>
        <v>0</v>
      </c>
      <c r="E418" s="243">
        <f>E436+E490+E450+E462+E476</f>
        <v>0</v>
      </c>
    </row>
    <row r="419" spans="1:6" ht="22.05" hidden="1" customHeight="1" outlineLevel="1">
      <c r="A419" s="214" t="s">
        <v>1336</v>
      </c>
      <c r="B419" s="240">
        <v>675550015.5</v>
      </c>
      <c r="C419" s="240">
        <f>C412+C416</f>
        <v>942550016</v>
      </c>
      <c r="D419" s="240">
        <f>D412+D416</f>
        <v>1036805017.6</v>
      </c>
      <c r="E419" s="240">
        <f>E412+E416</f>
        <v>1140485519.3600001</v>
      </c>
      <c r="F419" s="246"/>
    </row>
    <row r="420" spans="1:6" ht="22.05" hidden="1" customHeight="1" outlineLevel="1">
      <c r="A420" s="201"/>
      <c r="B420" s="209"/>
      <c r="C420" s="209"/>
      <c r="D420" s="209"/>
      <c r="E420" s="209"/>
    </row>
    <row r="421" spans="1:6" ht="22.05" hidden="1" customHeight="1" outlineLevel="1">
      <c r="A421" s="201"/>
      <c r="B421" s="209"/>
      <c r="C421" s="209"/>
      <c r="D421" s="209"/>
      <c r="E421" s="209"/>
    </row>
    <row r="422" spans="1:6" ht="22.05" hidden="1" customHeight="1" outlineLevel="1">
      <c r="A422" s="201" t="s">
        <v>1337</v>
      </c>
      <c r="B422" s="209"/>
      <c r="C422" s="209"/>
      <c r="D422" s="209"/>
      <c r="E422" s="209"/>
      <c r="F422" s="233">
        <f>C405-C419</f>
        <v>0</v>
      </c>
    </row>
    <row r="423" spans="1:6" ht="22.05" hidden="1" customHeight="1" outlineLevel="1">
      <c r="A423" s="201"/>
      <c r="B423" s="209"/>
      <c r="C423" s="209"/>
      <c r="D423" s="209"/>
      <c r="E423" s="209"/>
    </row>
    <row r="424" spans="1:6" ht="22.05" hidden="1" customHeight="1" outlineLevel="1">
      <c r="A424" s="201" t="s">
        <v>1338</v>
      </c>
      <c r="B424" s="244"/>
      <c r="C424" s="244"/>
      <c r="D424" s="209"/>
      <c r="E424" s="209"/>
    </row>
    <row r="425" spans="1:6" ht="22.05" hidden="1" customHeight="1" outlineLevel="1">
      <c r="A425" s="201" t="s">
        <v>314</v>
      </c>
      <c r="B425" s="244"/>
      <c r="C425" s="244"/>
      <c r="D425" s="209"/>
      <c r="E425" s="209"/>
    </row>
    <row r="426" spans="1:6" ht="22.05" hidden="1" customHeight="1" outlineLevel="1">
      <c r="A426" s="201" t="s">
        <v>315</v>
      </c>
      <c r="B426" s="244"/>
      <c r="C426" s="244"/>
      <c r="D426" s="209"/>
      <c r="E426" s="209"/>
    </row>
    <row r="427" spans="1:6" ht="22.05" hidden="1" customHeight="1" outlineLevel="1">
      <c r="B427" s="209"/>
      <c r="C427" s="209"/>
      <c r="D427" s="209"/>
      <c r="E427" s="209"/>
    </row>
    <row r="428" spans="1:6" ht="22.05" hidden="1" customHeight="1" outlineLevel="1">
      <c r="A428" s="210" t="s">
        <v>1287</v>
      </c>
      <c r="B428" s="822" t="s">
        <v>1257</v>
      </c>
      <c r="C428" s="822" t="s">
        <v>1258</v>
      </c>
      <c r="D428" s="824" t="s">
        <v>1259</v>
      </c>
      <c r="E428" s="825"/>
    </row>
    <row r="429" spans="1:6" ht="22.05" hidden="1" customHeight="1" outlineLevel="1">
      <c r="A429" s="211"/>
      <c r="B429" s="823"/>
      <c r="C429" s="823"/>
      <c r="D429" s="788" t="s">
        <v>1260</v>
      </c>
      <c r="E429" s="788" t="s">
        <v>1261</v>
      </c>
    </row>
    <row r="430" spans="1:6" ht="22.05" hidden="1" customHeight="1" outlineLevel="1">
      <c r="A430" s="214" t="s">
        <v>1298</v>
      </c>
      <c r="B430" s="215">
        <v>120421241</v>
      </c>
      <c r="C430" s="247">
        <f>C431+C432+C433</f>
        <v>118491914.72</v>
      </c>
      <c r="D430" s="247">
        <f>D431+D432+D433</f>
        <v>130341106.192</v>
      </c>
      <c r="E430" s="247">
        <f>E431+E432+E433</f>
        <v>143375216.81120002</v>
      </c>
    </row>
    <row r="431" spans="1:6" ht="22.05" hidden="1" customHeight="1" outlineLevel="1">
      <c r="A431" s="212" t="s">
        <v>1288</v>
      </c>
      <c r="B431" s="217">
        <v>110407882</v>
      </c>
      <c r="C431" s="243">
        <f>'Itemized Budget 2026-27'!E1212</f>
        <v>110407882</v>
      </c>
      <c r="D431" s="243">
        <f>C431*1.1</f>
        <v>121448670.2</v>
      </c>
      <c r="E431" s="243">
        <f>D431*1.1</f>
        <v>133593537.22000001</v>
      </c>
    </row>
    <row r="432" spans="1:6" ht="22.05" hidden="1" customHeight="1" outlineLevel="1">
      <c r="A432" s="212" t="s">
        <v>1289</v>
      </c>
      <c r="B432" s="217">
        <v>9613359</v>
      </c>
      <c r="C432" s="243">
        <f>'Itemized Budget 2026-27'!E1254-'Itemized Budget 2026-27'!E1252-'Itemized Budget 2026-27'!E1212</f>
        <v>7684032.7199999988</v>
      </c>
      <c r="D432" s="243">
        <f t="shared" ref="D432:E432" si="167">C432*1.1</f>
        <v>8452435.9919999987</v>
      </c>
      <c r="E432" s="243">
        <f t="shared" si="167"/>
        <v>9297679.5911999997</v>
      </c>
    </row>
    <row r="433" spans="1:6" ht="22.05" hidden="1" customHeight="1" outlineLevel="1">
      <c r="A433" s="212" t="s">
        <v>1290</v>
      </c>
      <c r="B433" s="217">
        <v>400000</v>
      </c>
      <c r="C433" s="239">
        <f>'Itemized Budget 2026-27'!E1252</f>
        <v>400000</v>
      </c>
      <c r="D433" s="243">
        <f t="shared" ref="D433:E433" si="168">C433*1.1</f>
        <v>440000.00000000006</v>
      </c>
      <c r="E433" s="243">
        <f t="shared" si="168"/>
        <v>484000.00000000012</v>
      </c>
    </row>
    <row r="434" spans="1:6" ht="22.05" hidden="1" customHeight="1" outlineLevel="1">
      <c r="A434" s="214" t="s">
        <v>1291</v>
      </c>
      <c r="B434" s="215">
        <v>0</v>
      </c>
      <c r="C434" s="247">
        <f>C435+C436</f>
        <v>0</v>
      </c>
      <c r="D434" s="247">
        <f t="shared" ref="D434:E434" si="169">D435+D436</f>
        <v>0</v>
      </c>
      <c r="E434" s="247">
        <f t="shared" si="169"/>
        <v>0</v>
      </c>
    </row>
    <row r="435" spans="1:6" ht="22.05" hidden="1" customHeight="1" outlineLevel="1">
      <c r="A435" s="212" t="s">
        <v>1335</v>
      </c>
      <c r="B435" s="217">
        <v>0</v>
      </c>
      <c r="C435" s="239">
        <v>0</v>
      </c>
      <c r="D435" s="243">
        <f t="shared" ref="D435:E435" si="170">C435*1.1</f>
        <v>0</v>
      </c>
      <c r="E435" s="243">
        <f t="shared" si="170"/>
        <v>0</v>
      </c>
    </row>
    <row r="436" spans="1:6" ht="22.05" hidden="1" customHeight="1" outlineLevel="1">
      <c r="A436" s="212" t="s">
        <v>1293</v>
      </c>
      <c r="B436" s="217">
        <v>0</v>
      </c>
      <c r="C436" s="239">
        <v>0</v>
      </c>
      <c r="D436" s="243">
        <f t="shared" ref="D436:E436" si="171">C436*1.1</f>
        <v>0</v>
      </c>
      <c r="E436" s="243">
        <f t="shared" si="171"/>
        <v>0</v>
      </c>
    </row>
    <row r="437" spans="1:6" ht="22.05" hidden="1" customHeight="1" outlineLevel="1">
      <c r="A437" s="214" t="s">
        <v>1333</v>
      </c>
      <c r="B437" s="215">
        <v>120421241</v>
      </c>
      <c r="C437" s="247">
        <f>C434+C430</f>
        <v>118491914.72</v>
      </c>
      <c r="D437" s="247">
        <f>D430</f>
        <v>130341106.192</v>
      </c>
      <c r="E437" s="247">
        <f>E430</f>
        <v>143375216.81120002</v>
      </c>
    </row>
    <row r="438" spans="1:6" ht="22.05" hidden="1" customHeight="1" outlineLevel="1">
      <c r="B438" s="209"/>
      <c r="C438" s="209"/>
      <c r="D438" s="209"/>
      <c r="E438" s="209"/>
    </row>
    <row r="439" spans="1:6" ht="22.05" hidden="1" customHeight="1" outlineLevel="1">
      <c r="B439" s="209"/>
      <c r="C439" s="209"/>
      <c r="D439" s="209"/>
      <c r="E439" s="209"/>
    </row>
    <row r="440" spans="1:6" ht="22.05" hidden="1" customHeight="1" outlineLevel="1">
      <c r="A440" s="201" t="s">
        <v>1339</v>
      </c>
      <c r="B440" s="208"/>
      <c r="C440" s="208"/>
      <c r="D440" s="208"/>
      <c r="E440" s="208"/>
      <c r="F440" s="248"/>
    </row>
    <row r="441" spans="1:6" ht="22.05" hidden="1" customHeight="1" outlineLevel="1">
      <c r="A441" s="249" t="s">
        <v>331</v>
      </c>
      <c r="B441" s="250"/>
      <c r="C441" s="250"/>
      <c r="D441" s="208"/>
      <c r="E441" s="208"/>
      <c r="F441" s="233"/>
    </row>
    <row r="442" spans="1:6" ht="22.05" hidden="1" customHeight="1" outlineLevel="1">
      <c r="A442" s="210" t="s">
        <v>1287</v>
      </c>
      <c r="B442" s="822" t="s">
        <v>1257</v>
      </c>
      <c r="C442" s="822" t="s">
        <v>1258</v>
      </c>
      <c r="D442" s="824" t="s">
        <v>1259</v>
      </c>
      <c r="E442" s="825"/>
      <c r="F442" s="233"/>
    </row>
    <row r="443" spans="1:6" ht="22.05" hidden="1" customHeight="1" outlineLevel="1">
      <c r="A443" s="211"/>
      <c r="B443" s="823"/>
      <c r="C443" s="823"/>
      <c r="D443" s="788" t="s">
        <v>1260</v>
      </c>
      <c r="E443" s="788" t="s">
        <v>1261</v>
      </c>
    </row>
    <row r="444" spans="1:6" ht="22.05" hidden="1" customHeight="1" outlineLevel="1">
      <c r="A444" s="214" t="s">
        <v>1298</v>
      </c>
      <c r="B444" s="215">
        <v>14904365.85</v>
      </c>
      <c r="C444" s="215">
        <f>C445+C446+C447</f>
        <v>11529640.85</v>
      </c>
      <c r="D444" s="215">
        <f>D445+D446+D447</f>
        <v>12682604.935000002</v>
      </c>
      <c r="E444" s="215">
        <f>E445+E446+E447</f>
        <v>13950865.428500002</v>
      </c>
    </row>
    <row r="445" spans="1:6" ht="22.05" hidden="1" customHeight="1" outlineLevel="1">
      <c r="A445" s="212" t="s">
        <v>1288</v>
      </c>
      <c r="B445" s="217"/>
      <c r="C445" s="217"/>
      <c r="D445" s="243">
        <f t="shared" ref="D445:E445" si="172">C445*1.1</f>
        <v>0</v>
      </c>
      <c r="E445" s="243">
        <f t="shared" si="172"/>
        <v>0</v>
      </c>
      <c r="F445" s="233"/>
    </row>
    <row r="446" spans="1:6" ht="22.05" hidden="1" customHeight="1" outlineLevel="1">
      <c r="A446" s="212" t="s">
        <v>1289</v>
      </c>
      <c r="B446" s="217">
        <v>12749733.85</v>
      </c>
      <c r="C446" s="217">
        <f>'Itemized Budget 2026-27'!E1290-'Itemized Budget 2026-27'!E1288-'Itemized Budget 2026-27'!E1286</f>
        <v>10455008.85</v>
      </c>
      <c r="D446" s="243">
        <f t="shared" ref="D446:E446" si="173">C446*1.1</f>
        <v>11500509.735000001</v>
      </c>
      <c r="E446" s="243">
        <f t="shared" si="173"/>
        <v>12650560.708500002</v>
      </c>
      <c r="F446" s="233"/>
    </row>
    <row r="447" spans="1:6" ht="22.05" hidden="1" customHeight="1" outlineLevel="1">
      <c r="A447" s="212" t="s">
        <v>1290</v>
      </c>
      <c r="B447" s="217">
        <v>2154632</v>
      </c>
      <c r="C447" s="217">
        <f>'Itemized Budget 2026-27'!E1286+'Itemized Budget 2026-27'!E1288</f>
        <v>1074632</v>
      </c>
      <c r="D447" s="243">
        <f t="shared" ref="D447:E447" si="174">C447*1.1</f>
        <v>1182095.2000000002</v>
      </c>
      <c r="E447" s="243">
        <f t="shared" si="174"/>
        <v>1300304.7200000002</v>
      </c>
    </row>
    <row r="448" spans="1:6" ht="22.05" hidden="1" customHeight="1" outlineLevel="1">
      <c r="A448" s="214" t="s">
        <v>1291</v>
      </c>
      <c r="B448" s="215">
        <v>0</v>
      </c>
      <c r="C448" s="215">
        <f>C449+C450</f>
        <v>0</v>
      </c>
      <c r="D448" s="215">
        <f t="shared" ref="D448:E448" si="175">D449+D450</f>
        <v>0</v>
      </c>
      <c r="E448" s="215">
        <f t="shared" si="175"/>
        <v>0</v>
      </c>
      <c r="F448" s="233"/>
    </row>
    <row r="449" spans="1:6" ht="22.05" hidden="1" customHeight="1" outlineLevel="1">
      <c r="A449" s="212" t="s">
        <v>1335</v>
      </c>
      <c r="B449" s="217"/>
      <c r="C449" s="217"/>
      <c r="D449" s="243">
        <f t="shared" ref="D449:E449" si="176">C449*1.1</f>
        <v>0</v>
      </c>
      <c r="E449" s="243">
        <f t="shared" si="176"/>
        <v>0</v>
      </c>
      <c r="F449" s="233"/>
    </row>
    <row r="450" spans="1:6" ht="22.05" hidden="1" customHeight="1" outlineLevel="1">
      <c r="A450" s="212" t="s">
        <v>1293</v>
      </c>
      <c r="B450" s="217">
        <v>0</v>
      </c>
      <c r="C450" s="217">
        <v>0</v>
      </c>
      <c r="D450" s="243">
        <f t="shared" ref="D450:E450" si="177">C450*1.1</f>
        <v>0</v>
      </c>
      <c r="E450" s="243">
        <f t="shared" si="177"/>
        <v>0</v>
      </c>
      <c r="F450" s="251"/>
    </row>
    <row r="451" spans="1:6" ht="22.05" hidden="1" customHeight="1" outlineLevel="1">
      <c r="A451" s="214" t="s">
        <v>1333</v>
      </c>
      <c r="B451" s="215">
        <v>14904365.85</v>
      </c>
      <c r="C451" s="215">
        <f>C448+C444</f>
        <v>11529640.85</v>
      </c>
      <c r="D451" s="215">
        <f>D448+D444</f>
        <v>12682604.935000002</v>
      </c>
      <c r="E451" s="215">
        <f>E448+E444</f>
        <v>13950865.428500002</v>
      </c>
    </row>
    <row r="452" spans="1:6" ht="22.05" hidden="1" customHeight="1" outlineLevel="1">
      <c r="A452" s="235"/>
      <c r="B452" s="208"/>
      <c r="C452" s="208"/>
      <c r="D452" s="208"/>
      <c r="E452" s="208"/>
    </row>
    <row r="453" spans="1:6" ht="22.05" hidden="1" customHeight="1" outlineLevel="1">
      <c r="A453" s="201" t="s">
        <v>334</v>
      </c>
    </row>
    <row r="454" spans="1:6" ht="22.05" hidden="1" customHeight="1" outlineLevel="1">
      <c r="A454" s="210" t="s">
        <v>1287</v>
      </c>
      <c r="B454" s="822" t="s">
        <v>1257</v>
      </c>
      <c r="C454" s="822" t="s">
        <v>1258</v>
      </c>
      <c r="D454" s="824" t="s">
        <v>1259</v>
      </c>
      <c r="E454" s="825"/>
    </row>
    <row r="455" spans="1:6" ht="22.05" hidden="1" customHeight="1" outlineLevel="1">
      <c r="A455" s="211"/>
      <c r="B455" s="823"/>
      <c r="C455" s="823"/>
      <c r="D455" s="788" t="s">
        <v>1260</v>
      </c>
      <c r="E455" s="788" t="s">
        <v>1261</v>
      </c>
    </row>
    <row r="456" spans="1:6" ht="22.05" hidden="1" customHeight="1" outlineLevel="1">
      <c r="A456" s="214" t="s">
        <v>1298</v>
      </c>
      <c r="B456" s="215">
        <v>12527478.65</v>
      </c>
      <c r="C456" s="215">
        <f>C457+C458+C459</f>
        <v>16572078.930000002</v>
      </c>
      <c r="D456" s="215">
        <f>D457+D458+D459</f>
        <v>18229286.823000003</v>
      </c>
      <c r="E456" s="215">
        <f>E457+E458+E459</f>
        <v>20052215.505300004</v>
      </c>
    </row>
    <row r="457" spans="1:6" ht="22.05" hidden="1" customHeight="1" outlineLevel="1">
      <c r="A457" s="212" t="s">
        <v>1288</v>
      </c>
      <c r="B457" s="217"/>
      <c r="C457" s="217"/>
      <c r="D457" s="243">
        <f t="shared" ref="D457:E457" si="178">C457*1.1</f>
        <v>0</v>
      </c>
      <c r="E457" s="243">
        <f t="shared" si="178"/>
        <v>0</v>
      </c>
    </row>
    <row r="458" spans="1:6" ht="22.05" hidden="1" customHeight="1" outlineLevel="1">
      <c r="A458" s="212" t="s">
        <v>1289</v>
      </c>
      <c r="B458" s="217">
        <v>9857868.6500000004</v>
      </c>
      <c r="C458" s="217">
        <f>'Itemized Budget 2026-27'!E1329-'Itemized Budget 2026-27'!E1327-'Itemized Budget 2026-27'!E1325-'Itemized Budget 2026-27'!E1323</f>
        <v>13402468.930000002</v>
      </c>
      <c r="D458" s="243">
        <f t="shared" ref="D458:E458" si="179">C458*1.1</f>
        <v>14742715.823000003</v>
      </c>
      <c r="E458" s="243">
        <f t="shared" si="179"/>
        <v>16216987.405300004</v>
      </c>
    </row>
    <row r="459" spans="1:6" ht="22.05" hidden="1" customHeight="1" outlineLevel="1">
      <c r="A459" s="212" t="s">
        <v>1290</v>
      </c>
      <c r="B459" s="217">
        <v>2669610</v>
      </c>
      <c r="C459" s="217">
        <f>'Itemized Budget 2026-27'!E1327+'Itemized Budget 2026-27'!E1325+'Itemized Budget 2026-27'!E1323</f>
        <v>3169610</v>
      </c>
      <c r="D459" s="243">
        <f t="shared" ref="D459:E459" si="180">C459*1.1</f>
        <v>3486571.0000000005</v>
      </c>
      <c r="E459" s="243">
        <f t="shared" si="180"/>
        <v>3835228.100000001</v>
      </c>
    </row>
    <row r="460" spans="1:6" ht="22.05" hidden="1" customHeight="1" outlineLevel="1">
      <c r="A460" s="214" t="s">
        <v>1291</v>
      </c>
      <c r="B460" s="215">
        <v>297226873</v>
      </c>
      <c r="C460" s="215">
        <f>C461+C462</f>
        <v>525807045</v>
      </c>
      <c r="D460" s="215">
        <f t="shared" ref="D460:E460" si="181">D461+D462</f>
        <v>578387749.5</v>
      </c>
      <c r="E460" s="215">
        <f t="shared" si="181"/>
        <v>636226524.45000005</v>
      </c>
    </row>
    <row r="461" spans="1:6" ht="22.05" hidden="1" customHeight="1" outlineLevel="1">
      <c r="A461" s="212" t="s">
        <v>1335</v>
      </c>
      <c r="B461" s="217">
        <v>297226873</v>
      </c>
      <c r="C461" s="217">
        <f>'Itemized Budget 2026-27'!E1336</f>
        <v>525807045</v>
      </c>
      <c r="D461" s="243">
        <f t="shared" ref="D461:E461" si="182">C461*1.1</f>
        <v>578387749.5</v>
      </c>
      <c r="E461" s="243">
        <f t="shared" si="182"/>
        <v>636226524.45000005</v>
      </c>
    </row>
    <row r="462" spans="1:6" ht="22.05" hidden="1" customHeight="1" outlineLevel="1">
      <c r="A462" s="212" t="s">
        <v>1293</v>
      </c>
      <c r="B462" s="217">
        <v>0</v>
      </c>
      <c r="C462" s="217">
        <v>0</v>
      </c>
      <c r="D462" s="243">
        <f t="shared" ref="D462:E462" si="183">C462*1.1</f>
        <v>0</v>
      </c>
      <c r="E462" s="243">
        <f t="shared" si="183"/>
        <v>0</v>
      </c>
    </row>
    <row r="463" spans="1:6" ht="22.05" hidden="1" customHeight="1" outlineLevel="1">
      <c r="A463" s="214" t="s">
        <v>1333</v>
      </c>
      <c r="B463" s="215">
        <v>309754351.64999998</v>
      </c>
      <c r="C463" s="215">
        <f>C460+C456</f>
        <v>542379123.92999995</v>
      </c>
      <c r="D463" s="215">
        <f>D460+D456</f>
        <v>596617036.32299995</v>
      </c>
      <c r="E463" s="215">
        <f>E460+E456</f>
        <v>656278739.95530009</v>
      </c>
      <c r="F463" s="205" t="e">
        <f>#REF!+#REF!+#REF!</f>
        <v>#REF!</v>
      </c>
    </row>
    <row r="464" spans="1:6" ht="22.05" hidden="1" customHeight="1" outlineLevel="1"/>
    <row r="465" spans="1:5" ht="22.05" hidden="1" customHeight="1" outlineLevel="1"/>
    <row r="466" spans="1:5" ht="22.05" hidden="1" customHeight="1" outlineLevel="1">
      <c r="A466" s="201" t="s">
        <v>1340</v>
      </c>
      <c r="E466" s="233"/>
    </row>
    <row r="467" spans="1:5" ht="22.05" hidden="1" customHeight="1" outlineLevel="1"/>
    <row r="468" spans="1:5" ht="22.05" hidden="1" customHeight="1" outlineLevel="1">
      <c r="A468" s="210" t="s">
        <v>1287</v>
      </c>
      <c r="B468" s="822" t="s">
        <v>1257</v>
      </c>
      <c r="C468" s="822" t="s">
        <v>1258</v>
      </c>
      <c r="D468" s="824" t="s">
        <v>1259</v>
      </c>
      <c r="E468" s="825"/>
    </row>
    <row r="469" spans="1:5" ht="22.05" hidden="1" customHeight="1" outlineLevel="1">
      <c r="A469" s="211"/>
      <c r="B469" s="823"/>
      <c r="C469" s="823"/>
      <c r="D469" s="788" t="s">
        <v>1260</v>
      </c>
      <c r="E469" s="788" t="s">
        <v>1261</v>
      </c>
    </row>
    <row r="470" spans="1:5" ht="22.05" hidden="1" customHeight="1" outlineLevel="1">
      <c r="A470" s="214" t="s">
        <v>1298</v>
      </c>
      <c r="B470" s="215">
        <v>6090196</v>
      </c>
      <c r="C470" s="215">
        <f>C471+C472+C473</f>
        <v>8590196</v>
      </c>
      <c r="D470" s="215">
        <f>D471+D472+D473</f>
        <v>9449215.6000000015</v>
      </c>
      <c r="E470" s="215">
        <f>E471+E472+E473</f>
        <v>10394137.160000004</v>
      </c>
    </row>
    <row r="471" spans="1:5" ht="22.05" hidden="1" customHeight="1" outlineLevel="1">
      <c r="A471" s="212" t="s">
        <v>1288</v>
      </c>
      <c r="B471" s="217"/>
      <c r="C471" s="217"/>
      <c r="D471" s="243">
        <f t="shared" ref="D471:E471" si="184">C471*1.1</f>
        <v>0</v>
      </c>
      <c r="E471" s="243">
        <f t="shared" si="184"/>
        <v>0</v>
      </c>
    </row>
    <row r="472" spans="1:5" ht="22.05" hidden="1" customHeight="1" outlineLevel="1">
      <c r="A472" s="212" t="s">
        <v>1289</v>
      </c>
      <c r="B472" s="217">
        <v>4691330</v>
      </c>
      <c r="C472" s="217">
        <f>'Itemized Budget 2026-27'!E1363-'Itemized Budget 2026-27'!E1361-'Itemized Budget 2026-27'!E1359</f>
        <v>6991330</v>
      </c>
      <c r="D472" s="243">
        <f t="shared" ref="D472:E472" si="185">C472*1.1</f>
        <v>7690463.0000000009</v>
      </c>
      <c r="E472" s="243">
        <f t="shared" si="185"/>
        <v>8459509.3000000026</v>
      </c>
    </row>
    <row r="473" spans="1:5" ht="22.05" hidden="1" customHeight="1" outlineLevel="1">
      <c r="A473" s="212" t="s">
        <v>1290</v>
      </c>
      <c r="B473" s="217">
        <v>1398866</v>
      </c>
      <c r="C473" s="217">
        <f>'Itemized Budget 2026-27'!E1361+'Itemized Budget 2026-27'!E1359</f>
        <v>1598866</v>
      </c>
      <c r="D473" s="243">
        <f t="shared" ref="D473:E473" si="186">C473*1.1</f>
        <v>1758752.6</v>
      </c>
      <c r="E473" s="243">
        <f t="shared" si="186"/>
        <v>1934627.8600000003</v>
      </c>
    </row>
    <row r="474" spans="1:5" ht="22.05" hidden="1" customHeight="1" outlineLevel="1">
      <c r="A474" s="214" t="s">
        <v>1291</v>
      </c>
      <c r="B474" s="215">
        <v>97907473</v>
      </c>
      <c r="C474" s="215">
        <f>C475+C476</f>
        <v>122907301</v>
      </c>
      <c r="D474" s="215">
        <f t="shared" ref="D474:E474" si="187">D475+D476</f>
        <v>135198031.10000002</v>
      </c>
      <c r="E474" s="215">
        <f t="shared" si="187"/>
        <v>148717834.21000004</v>
      </c>
    </row>
    <row r="475" spans="1:5" ht="22.05" hidden="1" customHeight="1" outlineLevel="1">
      <c r="A475" s="212" t="s">
        <v>1335</v>
      </c>
      <c r="B475" s="217">
        <v>97907473</v>
      </c>
      <c r="C475" s="217">
        <f>'Itemized Budget 2026-27'!E1374</f>
        <v>122907301</v>
      </c>
      <c r="D475" s="243">
        <f t="shared" ref="D475:E475" si="188">C475*1.1</f>
        <v>135198031.10000002</v>
      </c>
      <c r="E475" s="243">
        <f t="shared" si="188"/>
        <v>148717834.21000004</v>
      </c>
    </row>
    <row r="476" spans="1:5" ht="22.05" hidden="1" customHeight="1" outlineLevel="1">
      <c r="A476" s="212" t="s">
        <v>1293</v>
      </c>
      <c r="B476" s="217">
        <v>0</v>
      </c>
      <c r="C476" s="217">
        <v>0</v>
      </c>
      <c r="D476" s="243">
        <f t="shared" ref="D476:E476" si="189">C476*1.1</f>
        <v>0</v>
      </c>
      <c r="E476" s="243">
        <f t="shared" si="189"/>
        <v>0</v>
      </c>
    </row>
    <row r="477" spans="1:5" ht="22.05" hidden="1" customHeight="1" outlineLevel="1">
      <c r="A477" s="214" t="s">
        <v>1333</v>
      </c>
      <c r="B477" s="215">
        <v>103997669</v>
      </c>
      <c r="C477" s="215">
        <f>C474+C470</f>
        <v>131497497</v>
      </c>
      <c r="D477" s="215">
        <f>D474+D470</f>
        <v>144647246.70000002</v>
      </c>
      <c r="E477" s="215">
        <f>E474+E470</f>
        <v>159111971.37000003</v>
      </c>
    </row>
    <row r="478" spans="1:5" ht="22.05" hidden="1" customHeight="1" outlineLevel="1">
      <c r="A478" s="235"/>
      <c r="B478" s="208"/>
      <c r="C478" s="208"/>
      <c r="D478" s="208"/>
      <c r="E478" s="208"/>
    </row>
    <row r="479" spans="1:5" ht="22.05" hidden="1" customHeight="1" outlineLevel="1">
      <c r="A479" s="201" t="s">
        <v>1341</v>
      </c>
    </row>
    <row r="480" spans="1:5" ht="22.05" hidden="1" customHeight="1" outlineLevel="1">
      <c r="A480" s="201" t="s">
        <v>1342</v>
      </c>
    </row>
    <row r="481" spans="1:5" ht="22.05" hidden="1" customHeight="1" outlineLevel="1"/>
    <row r="482" spans="1:5" ht="22.05" hidden="1" customHeight="1" outlineLevel="1">
      <c r="A482" s="210" t="s">
        <v>1287</v>
      </c>
      <c r="B482" s="822" t="s">
        <v>1257</v>
      </c>
      <c r="C482" s="822" t="s">
        <v>1258</v>
      </c>
      <c r="D482" s="824" t="s">
        <v>1259</v>
      </c>
      <c r="E482" s="825"/>
    </row>
    <row r="483" spans="1:5" ht="22.05" hidden="1" customHeight="1" outlineLevel="1">
      <c r="A483" s="211"/>
      <c r="B483" s="823"/>
      <c r="C483" s="823"/>
      <c r="D483" s="788" t="s">
        <v>1260</v>
      </c>
      <c r="E483" s="788" t="s">
        <v>1261</v>
      </c>
    </row>
    <row r="484" spans="1:5" ht="22.05" hidden="1" customHeight="1" outlineLevel="1">
      <c r="A484" s="214" t="s">
        <v>1298</v>
      </c>
      <c r="B484" s="215">
        <v>12320548</v>
      </c>
      <c r="C484" s="215">
        <f>C485+C486+C487</f>
        <v>16499999.5</v>
      </c>
      <c r="D484" s="215">
        <f>D485+D486+D487</f>
        <v>18149999.450000003</v>
      </c>
      <c r="E484" s="215">
        <f>E485+E486+E487</f>
        <v>19964999.395000003</v>
      </c>
    </row>
    <row r="485" spans="1:5" ht="22.05" hidden="1" customHeight="1" outlineLevel="1">
      <c r="A485" s="212" t="s">
        <v>1288</v>
      </c>
      <c r="B485" s="217"/>
      <c r="C485" s="217"/>
      <c r="D485" s="243">
        <f t="shared" ref="D485:E485" si="190">C485*1.1</f>
        <v>0</v>
      </c>
      <c r="E485" s="243">
        <f t="shared" si="190"/>
        <v>0</v>
      </c>
    </row>
    <row r="486" spans="1:5" ht="22.05" hidden="1" customHeight="1" outlineLevel="1">
      <c r="A486" s="212" t="s">
        <v>1289</v>
      </c>
      <c r="B486" s="217">
        <v>11370548</v>
      </c>
      <c r="C486" s="217">
        <f>'Itemized Budget 2026-27'!E1417-'Itemized Budget 2026-27'!E1415</f>
        <v>15549999.5</v>
      </c>
      <c r="D486" s="243">
        <f t="shared" ref="D486:E486" si="191">C486*1.1</f>
        <v>17104999.450000003</v>
      </c>
      <c r="E486" s="243">
        <f t="shared" si="191"/>
        <v>18815499.395000003</v>
      </c>
    </row>
    <row r="487" spans="1:5" ht="22.05" hidden="1" customHeight="1" outlineLevel="1">
      <c r="A487" s="212" t="s">
        <v>1290</v>
      </c>
      <c r="B487" s="217">
        <v>950000</v>
      </c>
      <c r="C487" s="217">
        <f>'Itemized Budget 2026-27'!E1415</f>
        <v>950000</v>
      </c>
      <c r="D487" s="243">
        <f t="shared" ref="D487:E487" si="192">C487*1.1</f>
        <v>1045000.0000000001</v>
      </c>
      <c r="E487" s="243">
        <f t="shared" si="192"/>
        <v>1149500.0000000002</v>
      </c>
    </row>
    <row r="488" spans="1:5" ht="22.05" hidden="1" customHeight="1" outlineLevel="1">
      <c r="A488" s="214" t="s">
        <v>1291</v>
      </c>
      <c r="B488" s="215">
        <v>114151840</v>
      </c>
      <c r="C488" s="215">
        <f>C489+C490</f>
        <v>122151840</v>
      </c>
      <c r="D488" s="215">
        <f t="shared" ref="D488:E488" si="193">D489+D490</f>
        <v>134367024</v>
      </c>
      <c r="E488" s="215">
        <f t="shared" si="193"/>
        <v>147803726.40000001</v>
      </c>
    </row>
    <row r="489" spans="1:5" ht="22.05" hidden="1" customHeight="1" outlineLevel="1">
      <c r="A489" s="212" t="s">
        <v>1335</v>
      </c>
      <c r="B489" s="217">
        <v>114151840</v>
      </c>
      <c r="C489" s="217">
        <f>'Itemized Budget 2026-27'!E1427</f>
        <v>122151840</v>
      </c>
      <c r="D489" s="243">
        <f t="shared" ref="D489:E489" si="194">C489*1.1</f>
        <v>134367024</v>
      </c>
      <c r="E489" s="243">
        <f t="shared" si="194"/>
        <v>147803726.40000001</v>
      </c>
    </row>
    <row r="490" spans="1:5" ht="22.05" hidden="1" customHeight="1" outlineLevel="1">
      <c r="A490" s="212" t="s">
        <v>1293</v>
      </c>
      <c r="B490" s="217">
        <v>0</v>
      </c>
      <c r="C490" s="217">
        <v>0</v>
      </c>
      <c r="D490" s="243">
        <f t="shared" ref="D490:E490" si="195">C490*1.1</f>
        <v>0</v>
      </c>
      <c r="E490" s="243">
        <f t="shared" si="195"/>
        <v>0</v>
      </c>
    </row>
    <row r="491" spans="1:5" ht="22.05" hidden="1" customHeight="1" outlineLevel="1">
      <c r="A491" s="214" t="s">
        <v>1333</v>
      </c>
      <c r="B491" s="215">
        <v>126472388</v>
      </c>
      <c r="C491" s="215">
        <f>C488+C484</f>
        <v>138651839.5</v>
      </c>
      <c r="D491" s="215">
        <f>D488+D484</f>
        <v>152517023.44999999</v>
      </c>
      <c r="E491" s="215">
        <f>E488+E484</f>
        <v>167768725.79500002</v>
      </c>
    </row>
    <row r="492" spans="1:5" ht="22.05" hidden="1" customHeight="1" outlineLevel="1">
      <c r="A492" s="201"/>
    </row>
    <row r="493" spans="1:5" ht="22.05" customHeight="1" collapsed="1">
      <c r="A493" s="237"/>
    </row>
    <row r="494" spans="1:5" ht="22.05" customHeight="1">
      <c r="A494" s="201" t="s">
        <v>1343</v>
      </c>
      <c r="B494" s="244"/>
      <c r="C494" s="244"/>
      <c r="D494" s="209"/>
      <c r="E494" s="209"/>
    </row>
    <row r="495" spans="1:5" s="201" customFormat="1" ht="22.05" hidden="1" customHeight="1" outlineLevel="1">
      <c r="A495" s="201" t="s">
        <v>1255</v>
      </c>
      <c r="B495" s="209"/>
      <c r="C495" s="209"/>
      <c r="D495" s="209"/>
      <c r="E495" s="209"/>
    </row>
    <row r="496" spans="1:5" s="201" customFormat="1" ht="22.05" hidden="1" customHeight="1" outlineLevel="1">
      <c r="A496" s="210" t="s">
        <v>1256</v>
      </c>
      <c r="B496" s="822" t="s">
        <v>1257</v>
      </c>
      <c r="C496" s="822" t="s">
        <v>1258</v>
      </c>
      <c r="D496" s="824" t="s">
        <v>1259</v>
      </c>
      <c r="E496" s="825"/>
    </row>
    <row r="497" spans="1:5" ht="22.05" hidden="1" customHeight="1" outlineLevel="1">
      <c r="A497" s="211"/>
      <c r="B497" s="823"/>
      <c r="C497" s="823"/>
      <c r="D497" s="788" t="s">
        <v>1260</v>
      </c>
      <c r="E497" s="788" t="s">
        <v>1261</v>
      </c>
    </row>
    <row r="498" spans="1:5" s="201" customFormat="1" ht="22.05" hidden="1" customHeight="1" outlineLevel="1">
      <c r="A498" s="212" t="s">
        <v>1344</v>
      </c>
      <c r="B498" s="243">
        <v>839202424.88999999</v>
      </c>
      <c r="C498" s="243">
        <f>C532</f>
        <v>831152424.88999987</v>
      </c>
      <c r="D498" s="243">
        <f>D532</f>
        <v>914267667.37899995</v>
      </c>
      <c r="E498" s="243">
        <f>E532</f>
        <v>1005694434.1169001</v>
      </c>
    </row>
    <row r="499" spans="1:5" ht="22.05" hidden="1" customHeight="1" outlineLevel="1">
      <c r="A499" s="214" t="s">
        <v>1345</v>
      </c>
      <c r="B499" s="247">
        <v>839202424.88999999</v>
      </c>
      <c r="C499" s="247">
        <f>C498</f>
        <v>831152424.88999987</v>
      </c>
      <c r="D499" s="247">
        <f>SUM(D498)</f>
        <v>914267667.37899995</v>
      </c>
      <c r="E499" s="247">
        <f>SUM(E498)</f>
        <v>1005694434.1169001</v>
      </c>
    </row>
    <row r="500" spans="1:5" s="201" customFormat="1" ht="22.05" hidden="1" customHeight="1" outlineLevel="1">
      <c r="A500" s="212" t="s">
        <v>1346</v>
      </c>
      <c r="B500" s="239">
        <v>88594488.361256093</v>
      </c>
      <c r="C500" s="239">
        <f>C546</f>
        <v>150359202.36125612</v>
      </c>
      <c r="D500" s="239">
        <f>D546</f>
        <v>165395122.59738177</v>
      </c>
      <c r="E500" s="239">
        <f>E546</f>
        <v>181934634.85711998</v>
      </c>
    </row>
    <row r="501" spans="1:5" ht="22.05" hidden="1" customHeight="1" outlineLevel="1">
      <c r="A501" s="214" t="s">
        <v>1347</v>
      </c>
      <c r="B501" s="247">
        <v>88594488.361256093</v>
      </c>
      <c r="C501" s="247">
        <f>SUM(C500)</f>
        <v>150359202.36125612</v>
      </c>
      <c r="D501" s="247">
        <f>SUM(D500)</f>
        <v>165395122.59738177</v>
      </c>
      <c r="E501" s="247">
        <f>SUM(E500)</f>
        <v>181934634.85711998</v>
      </c>
    </row>
    <row r="502" spans="1:5" ht="22.05" hidden="1" customHeight="1" outlineLevel="1">
      <c r="A502" s="212" t="s">
        <v>1348</v>
      </c>
      <c r="B502" s="239">
        <v>87718260.307999998</v>
      </c>
      <c r="C502" s="239">
        <f>C560</f>
        <v>87105352.307999998</v>
      </c>
      <c r="D502" s="239">
        <f>D560</f>
        <v>95815887.538800001</v>
      </c>
      <c r="E502" s="239">
        <f>E560</f>
        <v>105397476.29268003</v>
      </c>
    </row>
    <row r="503" spans="1:5" s="201" customFormat="1" ht="22.05" hidden="1" customHeight="1" outlineLevel="1">
      <c r="A503" s="214" t="s">
        <v>1349</v>
      </c>
      <c r="B503" s="247">
        <v>87718260.307999998</v>
      </c>
      <c r="C503" s="247">
        <f>SUM(C502)</f>
        <v>87105352.307999998</v>
      </c>
      <c r="D503" s="247">
        <f>SUM(D502)</f>
        <v>95815887.538800001</v>
      </c>
      <c r="E503" s="247">
        <f>SUM(E502)</f>
        <v>105397476.29268003</v>
      </c>
    </row>
    <row r="504" spans="1:5" ht="22.05" hidden="1" customHeight="1" outlineLevel="1">
      <c r="A504" s="212" t="s">
        <v>1350</v>
      </c>
      <c r="B504" s="239">
        <v>22623995.647999998</v>
      </c>
      <c r="C504" s="239">
        <f>C575</f>
        <v>21923995.648000002</v>
      </c>
      <c r="D504" s="239">
        <f>D575</f>
        <v>24116395.212800004</v>
      </c>
      <c r="E504" s="239">
        <f>E575</f>
        <v>26528034.734080005</v>
      </c>
    </row>
    <row r="505" spans="1:5" s="201" customFormat="1" ht="22.05" hidden="1" customHeight="1" outlineLevel="1">
      <c r="A505" s="218" t="s">
        <v>1351</v>
      </c>
      <c r="B505" s="247">
        <v>22623995.647999998</v>
      </c>
      <c r="C505" s="247">
        <f>SUM(C504)</f>
        <v>21923995.648000002</v>
      </c>
      <c r="D505" s="247">
        <f>SUM(D504)</f>
        <v>24116395.212800004</v>
      </c>
      <c r="E505" s="247">
        <f>SUM(E504)</f>
        <v>26528034.734080005</v>
      </c>
    </row>
    <row r="506" spans="1:5" ht="22.05" hidden="1" customHeight="1" outlineLevel="1">
      <c r="A506" s="218" t="s">
        <v>550</v>
      </c>
      <c r="B506" s="247">
        <v>1038139169.20726</v>
      </c>
      <c r="C506" s="247">
        <f>C505+C503+C501+C499</f>
        <v>1090540975.2072561</v>
      </c>
      <c r="D506" s="247">
        <f>D505+D503+D501+D499</f>
        <v>1199595072.7279816</v>
      </c>
      <c r="E506" s="247">
        <f>E505+E503+E501+E499</f>
        <v>1319554580.0007801</v>
      </c>
    </row>
    <row r="507" spans="1:5" ht="22.05" hidden="1" customHeight="1" outlineLevel="1">
      <c r="A507" s="237"/>
      <c r="B507" s="209"/>
      <c r="C507" s="209"/>
      <c r="D507" s="209"/>
      <c r="E507" s="209"/>
    </row>
    <row r="508" spans="1:5" ht="22.05" hidden="1" customHeight="1" outlineLevel="1">
      <c r="A508" s="201" t="s">
        <v>1334</v>
      </c>
      <c r="B508" s="209"/>
      <c r="C508" s="209"/>
      <c r="D508" s="209"/>
      <c r="E508" s="209"/>
    </row>
    <row r="509" spans="1:5" s="201" customFormat="1" ht="22.05" hidden="1" customHeight="1" outlineLevel="1">
      <c r="A509" s="237"/>
      <c r="B509" s="244"/>
      <c r="C509" s="244"/>
      <c r="D509" s="244"/>
      <c r="E509" s="244"/>
    </row>
    <row r="510" spans="1:5" ht="22.05" hidden="1" customHeight="1" outlineLevel="1">
      <c r="A510" s="210" t="s">
        <v>1287</v>
      </c>
      <c r="B510" s="822" t="s">
        <v>1257</v>
      </c>
      <c r="C510" s="822" t="s">
        <v>1258</v>
      </c>
      <c r="D510" s="824" t="s">
        <v>1259</v>
      </c>
      <c r="E510" s="825"/>
    </row>
    <row r="511" spans="1:5" ht="22.05" hidden="1" customHeight="1" outlineLevel="1">
      <c r="A511" s="211"/>
      <c r="B511" s="823"/>
      <c r="C511" s="823"/>
      <c r="D511" s="788" t="s">
        <v>1260</v>
      </c>
      <c r="E511" s="788" t="s">
        <v>1261</v>
      </c>
    </row>
    <row r="512" spans="1:5" ht="22.05" hidden="1" customHeight="1" outlineLevel="1">
      <c r="A512" s="218" t="s">
        <v>197</v>
      </c>
      <c r="B512" s="240">
        <v>919175054.20725596</v>
      </c>
      <c r="C512" s="240">
        <f>SUM(C513:C515)</f>
        <v>959439768.20725596</v>
      </c>
      <c r="D512" s="240">
        <f>SUM(D513:D515)</f>
        <v>1055383745.0279818</v>
      </c>
      <c r="E512" s="240">
        <f>SUM(E513:E515)</f>
        <v>1160922119.5307801</v>
      </c>
    </row>
    <row r="513" spans="1:5" s="201" customFormat="1" ht="22.05" hidden="1" customHeight="1" outlineLevel="1">
      <c r="A513" s="224" t="s">
        <v>1288</v>
      </c>
      <c r="B513" s="239">
        <v>813444415</v>
      </c>
      <c r="C513" s="239">
        <f>C526+C540+C554+C569</f>
        <v>813444415</v>
      </c>
      <c r="D513" s="239">
        <f>D526+D540+D554+D569</f>
        <v>894788856.50000012</v>
      </c>
      <c r="E513" s="239">
        <f>E526+E540+E554+E569</f>
        <v>984267742.15000021</v>
      </c>
    </row>
    <row r="514" spans="1:5" ht="22.05" hidden="1" customHeight="1" outlineLevel="1">
      <c r="A514" s="224" t="s">
        <v>1289</v>
      </c>
      <c r="B514" s="239">
        <v>97075274.245999902</v>
      </c>
      <c r="C514" s="239">
        <f t="shared" ref="C514:C515" si="196">C527+C541+C555+C570</f>
        <v>81195274.245999873</v>
      </c>
      <c r="D514" s="239">
        <f t="shared" ref="D514:E515" si="197">D527+D541+D555+D570</f>
        <v>89314801.670599878</v>
      </c>
      <c r="E514" s="239">
        <f t="shared" si="197"/>
        <v>98246281.837659851</v>
      </c>
    </row>
    <row r="515" spans="1:5" ht="22.05" hidden="1" customHeight="1" outlineLevel="1">
      <c r="A515" s="224" t="s">
        <v>1290</v>
      </c>
      <c r="B515" s="239">
        <v>8655364.9612561297</v>
      </c>
      <c r="C515" s="239">
        <f t="shared" si="196"/>
        <v>64800078.961256132</v>
      </c>
      <c r="D515" s="239">
        <f t="shared" si="197"/>
        <v>71280086.857381761</v>
      </c>
      <c r="E515" s="239">
        <f t="shared" si="197"/>
        <v>78408095.543119922</v>
      </c>
    </row>
    <row r="516" spans="1:5" s="201" customFormat="1" ht="22.05" hidden="1" customHeight="1" outlineLevel="1">
      <c r="A516" s="218" t="s">
        <v>1291</v>
      </c>
      <c r="B516" s="247">
        <v>118964115</v>
      </c>
      <c r="C516" s="247">
        <f>SUM(C517:C518)</f>
        <v>131101207</v>
      </c>
      <c r="D516" s="247">
        <f>SUM(D517:D518)</f>
        <v>144211327.70000002</v>
      </c>
      <c r="E516" s="247">
        <f>SUM(E517:E518)</f>
        <v>158632460.47000003</v>
      </c>
    </row>
    <row r="517" spans="1:5" ht="22.05" hidden="1" customHeight="1" outlineLevel="1">
      <c r="A517" s="224" t="s">
        <v>1292</v>
      </c>
      <c r="B517" s="239">
        <v>118964115</v>
      </c>
      <c r="C517" s="239">
        <f t="shared" ref="C517:E518" si="198">C530+C544+C558+C573</f>
        <v>131101207</v>
      </c>
      <c r="D517" s="239">
        <f t="shared" si="198"/>
        <v>144211327.70000002</v>
      </c>
      <c r="E517" s="239">
        <f t="shared" si="198"/>
        <v>158632460.47000003</v>
      </c>
    </row>
    <row r="518" spans="1:5" s="201" customFormat="1" ht="22.05" hidden="1" customHeight="1" outlineLevel="1">
      <c r="A518" s="224" t="s">
        <v>1293</v>
      </c>
      <c r="B518" s="239">
        <v>0</v>
      </c>
      <c r="C518" s="239">
        <f t="shared" si="198"/>
        <v>0</v>
      </c>
      <c r="D518" s="239">
        <f t="shared" si="198"/>
        <v>0</v>
      </c>
      <c r="E518" s="239">
        <f t="shared" si="198"/>
        <v>0</v>
      </c>
    </row>
    <row r="519" spans="1:5" ht="22.05" hidden="1" customHeight="1" outlineLevel="1">
      <c r="A519" s="218" t="s">
        <v>1294</v>
      </c>
      <c r="B519" s="247">
        <v>1038139169.20726</v>
      </c>
      <c r="C519" s="247">
        <f>C516+C512</f>
        <v>1090540975.2072558</v>
      </c>
      <c r="D519" s="247">
        <f>D512+D516</f>
        <v>1199595072.7279818</v>
      </c>
      <c r="E519" s="247">
        <f>E512+E516</f>
        <v>1319554580.0007801</v>
      </c>
    </row>
    <row r="520" spans="1:5" ht="22.05" hidden="1" customHeight="1" outlineLevel="1">
      <c r="A520" s="237"/>
      <c r="B520" s="209"/>
      <c r="C520" s="209"/>
      <c r="D520" s="209"/>
      <c r="E520" s="209"/>
    </row>
    <row r="521" spans="1:5" ht="22.05" hidden="1" customHeight="1" outlineLevel="1">
      <c r="A521" s="201" t="s">
        <v>1345</v>
      </c>
      <c r="B521" s="209"/>
      <c r="C521" s="209"/>
      <c r="D521" s="209"/>
      <c r="E521" s="209"/>
    </row>
    <row r="522" spans="1:5" s="201" customFormat="1" ht="22.05" hidden="1" customHeight="1" outlineLevel="1">
      <c r="A522" s="205" t="s">
        <v>1352</v>
      </c>
      <c r="B522" s="209"/>
      <c r="C522" s="209"/>
      <c r="D522" s="209"/>
      <c r="E522" s="209"/>
    </row>
    <row r="523" spans="1:5" ht="22.05" hidden="1" customHeight="1" outlineLevel="1">
      <c r="A523" s="210" t="s">
        <v>1287</v>
      </c>
      <c r="B523" s="822" t="s">
        <v>1257</v>
      </c>
      <c r="C523" s="822" t="s">
        <v>1258</v>
      </c>
      <c r="D523" s="824" t="s">
        <v>1259</v>
      </c>
      <c r="E523" s="825"/>
    </row>
    <row r="524" spans="1:5" s="201" customFormat="1" ht="22.05" hidden="1" customHeight="1" outlineLevel="1">
      <c r="A524" s="211"/>
      <c r="B524" s="823"/>
      <c r="C524" s="823"/>
      <c r="D524" s="788" t="s">
        <v>1260</v>
      </c>
      <c r="E524" s="788" t="s">
        <v>1261</v>
      </c>
    </row>
    <row r="525" spans="1:5" ht="22.05" hidden="1" customHeight="1" outlineLevel="1">
      <c r="A525" s="218" t="s">
        <v>1298</v>
      </c>
      <c r="B525" s="247">
        <v>839202424.88999999</v>
      </c>
      <c r="C525" s="247">
        <f>SUM(C526:C528)</f>
        <v>831152424.88999987</v>
      </c>
      <c r="D525" s="247">
        <f>SUM(D526:D528)</f>
        <v>914267667.37899995</v>
      </c>
      <c r="E525" s="247">
        <f>SUM(E526:E528)</f>
        <v>1005694434.1169001</v>
      </c>
    </row>
    <row r="526" spans="1:5" s="201" customFormat="1" ht="22.05" hidden="1" customHeight="1" outlineLevel="1">
      <c r="A526" s="224" t="s">
        <v>1288</v>
      </c>
      <c r="B526" s="239">
        <v>808494415</v>
      </c>
      <c r="C526" s="239">
        <f>'Itemized Budget 2026-27'!E1438</f>
        <v>813444415</v>
      </c>
      <c r="D526" s="239">
        <f>C526*1.1</f>
        <v>894788856.50000012</v>
      </c>
      <c r="E526" s="239">
        <f>D526*1.1</f>
        <v>984267742.15000021</v>
      </c>
    </row>
    <row r="527" spans="1:5" ht="22.05" hidden="1" customHeight="1" outlineLevel="1">
      <c r="A527" s="224" t="s">
        <v>1289</v>
      </c>
      <c r="B527" s="239">
        <v>29973070.8899999</v>
      </c>
      <c r="C527" s="239">
        <f>'Itemized Budget 2026-27'!E1479-'Itemized Budget 2026-27'!E1477-'Itemized Budget 2026-27'!E1438</f>
        <v>16973070.889999866</v>
      </c>
      <c r="D527" s="239">
        <f t="shared" ref="D527:E527" si="199">C527*1.1</f>
        <v>18670377.978999853</v>
      </c>
      <c r="E527" s="239">
        <f t="shared" si="199"/>
        <v>20537415.776899841</v>
      </c>
    </row>
    <row r="528" spans="1:5" s="201" customFormat="1" ht="22.05" hidden="1" customHeight="1" outlineLevel="1">
      <c r="A528" s="224" t="s">
        <v>1290</v>
      </c>
      <c r="B528" s="239">
        <v>734939</v>
      </c>
      <c r="C528" s="239">
        <f>'Itemized Budget 2026-27'!E1477</f>
        <v>734939</v>
      </c>
      <c r="D528" s="239">
        <f t="shared" ref="D528:E528" si="200">C528*1.1</f>
        <v>808432.9</v>
      </c>
      <c r="E528" s="239">
        <f t="shared" si="200"/>
        <v>889276.19000000006</v>
      </c>
    </row>
    <row r="529" spans="1:5" ht="22.05" hidden="1" customHeight="1" outlineLevel="1">
      <c r="A529" s="218" t="s">
        <v>1291</v>
      </c>
      <c r="B529" s="239">
        <v>0</v>
      </c>
      <c r="C529" s="239">
        <f>SUM(C530:C531)</f>
        <v>0</v>
      </c>
      <c r="D529" s="239">
        <f t="shared" ref="D529:E529" si="201">SUM(D530:D531)</f>
        <v>0</v>
      </c>
      <c r="E529" s="239">
        <f t="shared" si="201"/>
        <v>0</v>
      </c>
    </row>
    <row r="530" spans="1:5" s="201" customFormat="1" ht="22.05" hidden="1" customHeight="1" outlineLevel="1">
      <c r="A530" s="224" t="s">
        <v>1299</v>
      </c>
      <c r="B530" s="239">
        <v>0</v>
      </c>
      <c r="C530" s="239">
        <v>0</v>
      </c>
      <c r="D530" s="239">
        <f t="shared" ref="D530:E530" si="202">C530*1.1</f>
        <v>0</v>
      </c>
      <c r="E530" s="239">
        <f t="shared" si="202"/>
        <v>0</v>
      </c>
    </row>
    <row r="531" spans="1:5" ht="22.05" hidden="1" customHeight="1" outlineLevel="1">
      <c r="A531" s="224" t="s">
        <v>1300</v>
      </c>
      <c r="B531" s="239">
        <v>0</v>
      </c>
      <c r="C531" s="239">
        <v>0</v>
      </c>
      <c r="D531" s="239">
        <f t="shared" ref="D531:E531" si="203">C531*1.1</f>
        <v>0</v>
      </c>
      <c r="E531" s="239">
        <f t="shared" si="203"/>
        <v>0</v>
      </c>
    </row>
    <row r="532" spans="1:5" ht="22.05" hidden="1" customHeight="1" outlineLevel="1">
      <c r="A532" s="218" t="s">
        <v>1301</v>
      </c>
      <c r="B532" s="247">
        <v>839202424.88999999</v>
      </c>
      <c r="C532" s="247">
        <f>C529+C525</f>
        <v>831152424.88999987</v>
      </c>
      <c r="D532" s="247">
        <f>D529+D525</f>
        <v>914267667.37899995</v>
      </c>
      <c r="E532" s="247">
        <f>E529+E525</f>
        <v>1005694434.1169001</v>
      </c>
    </row>
    <row r="533" spans="1:5" ht="22.05" hidden="1" customHeight="1" outlineLevel="1">
      <c r="B533" s="209"/>
      <c r="C533" s="209"/>
      <c r="D533" s="209"/>
      <c r="E533" s="209"/>
    </row>
    <row r="534" spans="1:5" ht="22.05" hidden="1" customHeight="1" outlineLevel="1">
      <c r="B534" s="209"/>
      <c r="C534" s="209"/>
      <c r="D534" s="209"/>
      <c r="E534" s="209"/>
    </row>
    <row r="535" spans="1:5" s="201" customFormat="1" ht="22.05" hidden="1" customHeight="1" outlineLevel="1">
      <c r="A535" s="201" t="s">
        <v>1353</v>
      </c>
      <c r="B535" s="209"/>
      <c r="C535" s="209"/>
      <c r="D535" s="209"/>
      <c r="E535" s="209"/>
    </row>
    <row r="536" spans="1:5" ht="22.05" hidden="1" customHeight="1" outlineLevel="1">
      <c r="A536" s="205" t="s">
        <v>1354</v>
      </c>
      <c r="B536" s="209"/>
      <c r="C536" s="209"/>
      <c r="D536" s="209"/>
      <c r="E536" s="209"/>
    </row>
    <row r="537" spans="1:5" ht="22.05" hidden="1" customHeight="1" outlineLevel="1">
      <c r="A537" s="210" t="s">
        <v>1287</v>
      </c>
      <c r="B537" s="822" t="s">
        <v>1257</v>
      </c>
      <c r="C537" s="822" t="s">
        <v>1258</v>
      </c>
      <c r="D537" s="824" t="s">
        <v>1259</v>
      </c>
      <c r="E537" s="825"/>
    </row>
    <row r="538" spans="1:5" ht="22.05" hidden="1" customHeight="1" outlineLevel="1">
      <c r="A538" s="211"/>
      <c r="B538" s="823"/>
      <c r="C538" s="823"/>
      <c r="D538" s="788" t="s">
        <v>1260</v>
      </c>
      <c r="E538" s="788" t="s">
        <v>1261</v>
      </c>
    </row>
    <row r="539" spans="1:5" ht="22.05" hidden="1" customHeight="1" outlineLevel="1">
      <c r="A539" s="218" t="s">
        <v>1298</v>
      </c>
      <c r="B539" s="247">
        <v>30594488.3612561</v>
      </c>
      <c r="C539" s="247">
        <f>SUM(C540:C542)</f>
        <v>89859202.361256137</v>
      </c>
      <c r="D539" s="247">
        <f>SUM(D540:D542)</f>
        <v>98845122.597381756</v>
      </c>
      <c r="E539" s="247">
        <f>SUM(E540:E542)</f>
        <v>108729634.85711995</v>
      </c>
    </row>
    <row r="540" spans="1:5" ht="22.05" hidden="1" customHeight="1" outlineLevel="1">
      <c r="A540" s="224" t="s">
        <v>1288</v>
      </c>
      <c r="B540" s="239"/>
      <c r="C540" s="239"/>
      <c r="D540" s="239">
        <f t="shared" ref="D540:E540" si="204">C540*1.1</f>
        <v>0</v>
      </c>
      <c r="E540" s="239">
        <f t="shared" si="204"/>
        <v>0</v>
      </c>
    </row>
    <row r="541" spans="1:5" ht="22.05" hidden="1" customHeight="1" outlineLevel="1">
      <c r="A541" s="224" t="s">
        <v>1289</v>
      </c>
      <c r="B541" s="239">
        <v>27340001.399999999</v>
      </c>
      <c r="C541" s="239">
        <f>'Itemized Budget 2026-27'!E1528-'Itemized Budget 2026-27'!E1526-'Itemized Budget 2026-27'!E1524-'Itemized Budget 2026-27'!E1521</f>
        <v>28340001.400000006</v>
      </c>
      <c r="D541" s="239">
        <f t="shared" ref="D541:E541" si="205">C541*1.1</f>
        <v>31174001.54000001</v>
      </c>
      <c r="E541" s="239">
        <f t="shared" si="205"/>
        <v>34291401.694000013</v>
      </c>
    </row>
    <row r="542" spans="1:5" ht="22.05" hidden="1" customHeight="1" outlineLevel="1">
      <c r="A542" s="224" t="s">
        <v>1290</v>
      </c>
      <c r="B542" s="239">
        <v>3254486.9612561301</v>
      </c>
      <c r="C542" s="239">
        <f>'Itemized Budget 2026-27'!E1521+'Itemized Budget 2026-27'!E1524+'Itemized Budget 2026-27'!E1526</f>
        <v>61519200.961256132</v>
      </c>
      <c r="D542" s="239">
        <f t="shared" ref="D542:E542" si="206">C542*1.1</f>
        <v>67671121.057381749</v>
      </c>
      <c r="E542" s="239">
        <f t="shared" si="206"/>
        <v>74438233.163119927</v>
      </c>
    </row>
    <row r="543" spans="1:5" s="201" customFormat="1" ht="22.05" hidden="1" customHeight="1" outlineLevel="1">
      <c r="A543" s="218" t="s">
        <v>1291</v>
      </c>
      <c r="B543" s="247">
        <v>58000000</v>
      </c>
      <c r="C543" s="247">
        <f>SUM(C544:C545)</f>
        <v>60500000</v>
      </c>
      <c r="D543" s="247">
        <f t="shared" ref="D543:E543" si="207">SUM(D544:D545)</f>
        <v>66550000.000000007</v>
      </c>
      <c r="E543" s="247">
        <f t="shared" si="207"/>
        <v>73205000.000000015</v>
      </c>
    </row>
    <row r="544" spans="1:5" ht="22.05" hidden="1" customHeight="1" outlineLevel="1">
      <c r="A544" s="224" t="s">
        <v>1299</v>
      </c>
      <c r="B544" s="239">
        <v>58000000</v>
      </c>
      <c r="C544" s="239">
        <f>'Itemized Budget 2026-27'!E1538</f>
        <v>60500000</v>
      </c>
      <c r="D544" s="239">
        <f t="shared" ref="D544:E544" si="208">C544*1.1</f>
        <v>66550000.000000007</v>
      </c>
      <c r="E544" s="239">
        <f t="shared" si="208"/>
        <v>73205000.000000015</v>
      </c>
    </row>
    <row r="545" spans="1:6" s="201" customFormat="1" ht="22.05" hidden="1" customHeight="1" outlineLevel="1">
      <c r="A545" s="224" t="s">
        <v>1300</v>
      </c>
      <c r="B545" s="239"/>
      <c r="C545" s="239"/>
      <c r="D545" s="239">
        <f t="shared" ref="D545:E545" si="209">C545*1.1</f>
        <v>0</v>
      </c>
      <c r="E545" s="239">
        <f t="shared" si="209"/>
        <v>0</v>
      </c>
    </row>
    <row r="546" spans="1:6" ht="22.05" hidden="1" customHeight="1" outlineLevel="1">
      <c r="A546" s="218" t="s">
        <v>1301</v>
      </c>
      <c r="B546" s="247">
        <v>88594488.361256093</v>
      </c>
      <c r="C546" s="247">
        <f>C543+C539</f>
        <v>150359202.36125612</v>
      </c>
      <c r="D546" s="247">
        <f>D543+D539</f>
        <v>165395122.59738177</v>
      </c>
      <c r="E546" s="247">
        <f>E543+E539</f>
        <v>181934634.85711998</v>
      </c>
    </row>
    <row r="547" spans="1:6" s="201" customFormat="1" ht="22.05" hidden="1" customHeight="1" outlineLevel="1">
      <c r="A547" s="205"/>
      <c r="B547" s="209"/>
      <c r="C547" s="209"/>
      <c r="D547" s="209"/>
      <c r="E547" s="209"/>
    </row>
    <row r="548" spans="1:6" ht="22.05" hidden="1" customHeight="1" outlineLevel="1">
      <c r="B548" s="209"/>
      <c r="C548" s="209"/>
      <c r="D548" s="209"/>
      <c r="E548" s="209"/>
    </row>
    <row r="549" spans="1:6" s="201" customFormat="1" ht="22.05" hidden="1" customHeight="1" outlineLevel="1">
      <c r="A549" s="201" t="s">
        <v>1355</v>
      </c>
      <c r="B549" s="209"/>
      <c r="C549" s="209"/>
      <c r="D549" s="209"/>
      <c r="E549" s="209"/>
    </row>
    <row r="550" spans="1:6" ht="22.05" hidden="1" customHeight="1" outlineLevel="1">
      <c r="A550" s="205" t="s">
        <v>1356</v>
      </c>
      <c r="B550" s="209"/>
      <c r="C550" s="209"/>
      <c r="D550" s="209"/>
      <c r="E550" s="209"/>
    </row>
    <row r="551" spans="1:6" s="201" customFormat="1" ht="22.05" hidden="1" customHeight="1" outlineLevel="1">
      <c r="A551" s="210" t="s">
        <v>1287</v>
      </c>
      <c r="B551" s="822" t="s">
        <v>1257</v>
      </c>
      <c r="C551" s="822" t="s">
        <v>1258</v>
      </c>
      <c r="D551" s="824" t="s">
        <v>1259</v>
      </c>
      <c r="E551" s="825"/>
    </row>
    <row r="552" spans="1:6" ht="22.05" hidden="1" customHeight="1" outlineLevel="1">
      <c r="A552" s="211"/>
      <c r="B552" s="823"/>
      <c r="C552" s="823"/>
      <c r="D552" s="788" t="s">
        <v>1260</v>
      </c>
      <c r="E552" s="788" t="s">
        <v>1261</v>
      </c>
    </row>
    <row r="553" spans="1:6" ht="22.05" hidden="1" customHeight="1" outlineLevel="1">
      <c r="A553" s="218" t="s">
        <v>1298</v>
      </c>
      <c r="B553" s="247">
        <v>26754145.307999998</v>
      </c>
      <c r="C553" s="247">
        <f>SUM(C554:C556)</f>
        <v>16504145.308000002</v>
      </c>
      <c r="D553" s="247">
        <f>SUM(D554:D556)</f>
        <v>18154559.838800002</v>
      </c>
      <c r="E553" s="247">
        <f>SUM(E554:E556)</f>
        <v>19970015.822680008</v>
      </c>
    </row>
    <row r="554" spans="1:6" ht="22.05" hidden="1" customHeight="1" outlineLevel="1">
      <c r="A554" s="224" t="s">
        <v>1288</v>
      </c>
      <c r="B554" s="239">
        <v>4950000</v>
      </c>
      <c r="C554" s="239"/>
      <c r="D554" s="239">
        <f t="shared" ref="D554:E554" si="210">C554*1.1</f>
        <v>0</v>
      </c>
      <c r="E554" s="239">
        <f t="shared" si="210"/>
        <v>0</v>
      </c>
    </row>
    <row r="555" spans="1:6" ht="22.05" hidden="1" customHeight="1" outlineLevel="1">
      <c r="A555" s="224" t="s">
        <v>1289</v>
      </c>
      <c r="B555" s="239">
        <v>19038206.307999998</v>
      </c>
      <c r="C555" s="239">
        <f>'Itemized Budget 2026-27'!E1587-'Itemized Budget 2026-27'!E1585-'Itemized Budget 2026-27'!E1582</f>
        <v>15158206.308000002</v>
      </c>
      <c r="D555" s="239">
        <f t="shared" ref="D555:E555" si="211">C555*1.1</f>
        <v>16674026.938800003</v>
      </c>
      <c r="E555" s="239">
        <f t="shared" si="211"/>
        <v>18341429.632680006</v>
      </c>
      <c r="F555" s="233" t="e">
        <f>C553-#REF!</f>
        <v>#REF!</v>
      </c>
    </row>
    <row r="556" spans="1:6" s="201" customFormat="1" ht="22.05" hidden="1" customHeight="1" outlineLevel="1">
      <c r="A556" s="224" t="s">
        <v>1290</v>
      </c>
      <c r="B556" s="239">
        <v>2765939</v>
      </c>
      <c r="C556" s="239">
        <f>'Itemized Budget 2026-27'!E1582+'Itemized Budget 2026-27'!E1585</f>
        <v>1345939</v>
      </c>
      <c r="D556" s="239">
        <f t="shared" ref="D556:E556" si="212">C556*1.1</f>
        <v>1480532.9000000001</v>
      </c>
      <c r="E556" s="239">
        <f t="shared" si="212"/>
        <v>1628586.1900000002</v>
      </c>
    </row>
    <row r="557" spans="1:6" ht="22.05" hidden="1" customHeight="1" outlineLevel="1">
      <c r="A557" s="218" t="s">
        <v>1291</v>
      </c>
      <c r="B557" s="247">
        <v>60964115</v>
      </c>
      <c r="C557" s="247">
        <f>SUM(C558:C559)</f>
        <v>70601207</v>
      </c>
      <c r="D557" s="247">
        <f t="shared" ref="D557:E557" si="213">SUM(D558:D559)</f>
        <v>77661327.700000003</v>
      </c>
      <c r="E557" s="247">
        <f t="shared" si="213"/>
        <v>85427460.470000014</v>
      </c>
    </row>
    <row r="558" spans="1:6" ht="22.05" hidden="1" customHeight="1" outlineLevel="1">
      <c r="A558" s="224" t="s">
        <v>1299</v>
      </c>
      <c r="B558" s="239">
        <v>60964115</v>
      </c>
      <c r="C558" s="239">
        <f>'Itemized Budget 2026-27'!E1598</f>
        <v>70601207</v>
      </c>
      <c r="D558" s="239">
        <f t="shared" ref="D558:E558" si="214">C558*1.1</f>
        <v>77661327.700000003</v>
      </c>
      <c r="E558" s="239">
        <f t="shared" si="214"/>
        <v>85427460.470000014</v>
      </c>
    </row>
    <row r="559" spans="1:6" s="201" customFormat="1" ht="22.05" hidden="1" customHeight="1" outlineLevel="1">
      <c r="A559" s="224" t="s">
        <v>1300</v>
      </c>
      <c r="B559" s="239">
        <v>0</v>
      </c>
      <c r="C559" s="239">
        <v>0</v>
      </c>
      <c r="D559" s="239">
        <f t="shared" ref="D559:E559" si="215">C559*1.1</f>
        <v>0</v>
      </c>
      <c r="E559" s="239">
        <f t="shared" si="215"/>
        <v>0</v>
      </c>
    </row>
    <row r="560" spans="1:6" ht="22.05" hidden="1" customHeight="1" outlineLevel="1">
      <c r="A560" s="218" t="s">
        <v>1301</v>
      </c>
      <c r="B560" s="247">
        <v>87718260.307999998</v>
      </c>
      <c r="C560" s="247">
        <f>C557+C553</f>
        <v>87105352.307999998</v>
      </c>
      <c r="D560" s="247">
        <f>D557+D553</f>
        <v>95815887.538800001</v>
      </c>
      <c r="E560" s="247">
        <f>E557+E553</f>
        <v>105397476.29268003</v>
      </c>
    </row>
    <row r="561" spans="1:5" ht="22.05" hidden="1" customHeight="1" outlineLevel="1">
      <c r="B561" s="209"/>
      <c r="C561" s="209"/>
      <c r="D561" s="209"/>
      <c r="E561" s="209"/>
    </row>
    <row r="562" spans="1:5" s="201" customFormat="1" ht="22.05" hidden="1" customHeight="1" outlineLevel="1">
      <c r="A562" s="205"/>
      <c r="B562" s="209"/>
      <c r="C562" s="209"/>
      <c r="D562" s="209"/>
      <c r="E562" s="209"/>
    </row>
    <row r="563" spans="1:5" s="201" customFormat="1" ht="22.05" hidden="1" customHeight="1" outlineLevel="1">
      <c r="A563" s="201" t="s">
        <v>1357</v>
      </c>
      <c r="B563" s="209"/>
      <c r="C563" s="209"/>
      <c r="D563" s="209"/>
      <c r="E563" s="209"/>
    </row>
    <row r="564" spans="1:5" s="201" customFormat="1" ht="22.05" hidden="1" customHeight="1" outlineLevel="1">
      <c r="A564" s="205" t="s">
        <v>1358</v>
      </c>
      <c r="B564" s="209"/>
      <c r="C564" s="209"/>
      <c r="D564" s="209"/>
      <c r="E564" s="209"/>
    </row>
    <row r="565" spans="1:5" ht="22.05" hidden="1" customHeight="1" outlineLevel="1">
      <c r="B565" s="209"/>
      <c r="C565" s="209"/>
      <c r="D565" s="209"/>
      <c r="E565" s="209"/>
    </row>
    <row r="566" spans="1:5" s="201" customFormat="1" ht="22.05" hidden="1" customHeight="1" outlineLevel="1">
      <c r="A566" s="210" t="s">
        <v>1287</v>
      </c>
      <c r="B566" s="822" t="s">
        <v>1257</v>
      </c>
      <c r="C566" s="822" t="s">
        <v>1258</v>
      </c>
      <c r="D566" s="824" t="s">
        <v>1259</v>
      </c>
      <c r="E566" s="825"/>
    </row>
    <row r="567" spans="1:5" ht="22.05" hidden="1" customHeight="1" outlineLevel="1">
      <c r="A567" s="211"/>
      <c r="B567" s="823"/>
      <c r="C567" s="823"/>
      <c r="D567" s="788" t="s">
        <v>1260</v>
      </c>
      <c r="E567" s="788" t="s">
        <v>1261</v>
      </c>
    </row>
    <row r="568" spans="1:5" ht="22.05" hidden="1" customHeight="1" outlineLevel="1">
      <c r="A568" s="218" t="s">
        <v>1298</v>
      </c>
      <c r="B568" s="247">
        <v>22623995.647999998</v>
      </c>
      <c r="C568" s="247">
        <f>SUM(C569:C571)</f>
        <v>21923995.648000002</v>
      </c>
      <c r="D568" s="247">
        <f>SUM(D569:D571)</f>
        <v>24116395.212800004</v>
      </c>
      <c r="E568" s="247">
        <f>SUM(E569:E571)</f>
        <v>26528034.734080005</v>
      </c>
    </row>
    <row r="569" spans="1:5" s="201" customFormat="1" ht="22.05" hidden="1" customHeight="1" outlineLevel="1">
      <c r="A569" s="224" t="s">
        <v>1288</v>
      </c>
      <c r="B569" s="239"/>
      <c r="C569" s="239"/>
      <c r="D569" s="239">
        <f t="shared" ref="D569:E569" si="216">C569*1.1</f>
        <v>0</v>
      </c>
      <c r="E569" s="239">
        <f t="shared" si="216"/>
        <v>0</v>
      </c>
    </row>
    <row r="570" spans="1:5" s="201" customFormat="1" ht="22.05" hidden="1" customHeight="1" outlineLevel="1">
      <c r="A570" s="224" t="s">
        <v>1289</v>
      </c>
      <c r="B570" s="239">
        <v>20723995.647999998</v>
      </c>
      <c r="C570" s="239">
        <f>'Itemized Budget 2026-27'!E1618-'Itemized Budget 2026-27'!E1616</f>
        <v>20723995.648000002</v>
      </c>
      <c r="D570" s="239">
        <f t="shared" ref="D570:E570" si="217">C570*1.1</f>
        <v>22796395.212800004</v>
      </c>
      <c r="E570" s="239">
        <f t="shared" si="217"/>
        <v>25076034.734080005</v>
      </c>
    </row>
    <row r="571" spans="1:5" ht="22.05" hidden="1" customHeight="1" outlineLevel="1">
      <c r="A571" s="224" t="s">
        <v>1290</v>
      </c>
      <c r="B571" s="239">
        <v>1900000</v>
      </c>
      <c r="C571" s="239">
        <f>'Itemized Budget 2026-27'!E1616</f>
        <v>1200000</v>
      </c>
      <c r="D571" s="239">
        <f t="shared" ref="D571:E571" si="218">C571*1.1</f>
        <v>1320000</v>
      </c>
      <c r="E571" s="239">
        <f t="shared" si="218"/>
        <v>1452000.0000000002</v>
      </c>
    </row>
    <row r="572" spans="1:5" ht="22.05" hidden="1" customHeight="1" outlineLevel="1">
      <c r="A572" s="218" t="s">
        <v>1291</v>
      </c>
      <c r="B572" s="247">
        <v>0</v>
      </c>
      <c r="C572" s="247">
        <f>SUM(C573:C574)</f>
        <v>0</v>
      </c>
      <c r="D572" s="247">
        <f t="shared" ref="D572:E572" si="219">SUM(D573:D574)</f>
        <v>0</v>
      </c>
      <c r="E572" s="247">
        <f t="shared" si="219"/>
        <v>0</v>
      </c>
    </row>
    <row r="573" spans="1:5" ht="22.05" hidden="1" customHeight="1" outlineLevel="1">
      <c r="A573" s="224" t="s">
        <v>1299</v>
      </c>
      <c r="B573" s="239">
        <v>0</v>
      </c>
      <c r="C573" s="239"/>
      <c r="D573" s="239">
        <f t="shared" ref="D573:E573" si="220">C573*1.1</f>
        <v>0</v>
      </c>
      <c r="E573" s="239">
        <f t="shared" si="220"/>
        <v>0</v>
      </c>
    </row>
    <row r="574" spans="1:5" ht="22.05" hidden="1" customHeight="1" outlineLevel="1">
      <c r="A574" s="224" t="s">
        <v>1300</v>
      </c>
      <c r="B574" s="239"/>
      <c r="C574" s="239"/>
      <c r="D574" s="239">
        <f t="shared" ref="D574:E574" si="221">C574*1.1</f>
        <v>0</v>
      </c>
      <c r="E574" s="239">
        <f t="shared" si="221"/>
        <v>0</v>
      </c>
    </row>
    <row r="575" spans="1:5" s="201" customFormat="1" ht="22.05" hidden="1" customHeight="1" outlineLevel="1">
      <c r="A575" s="218" t="s">
        <v>1301</v>
      </c>
      <c r="B575" s="247">
        <v>22623995.647999998</v>
      </c>
      <c r="C575" s="247">
        <f>C572+C568</f>
        <v>21923995.648000002</v>
      </c>
      <c r="D575" s="247">
        <f>D572+D568</f>
        <v>24116395.212800004</v>
      </c>
      <c r="E575" s="247">
        <f>E572+E568</f>
        <v>26528034.734080005</v>
      </c>
    </row>
    <row r="576" spans="1:5" ht="22.05" customHeight="1" collapsed="1">
      <c r="A576" s="237"/>
      <c r="B576" s="209"/>
      <c r="C576" s="209"/>
      <c r="D576" s="209"/>
      <c r="E576" s="209"/>
    </row>
    <row r="577" spans="1:5" ht="22.05" customHeight="1">
      <c r="A577" s="201" t="s">
        <v>437</v>
      </c>
      <c r="B577" s="209"/>
      <c r="C577" s="209"/>
      <c r="D577" s="209"/>
      <c r="E577" s="209"/>
    </row>
    <row r="578" spans="1:5" ht="22.05" hidden="1" customHeight="1" outlineLevel="1">
      <c r="A578" s="201" t="s">
        <v>1255</v>
      </c>
      <c r="B578" s="209"/>
      <c r="C578" s="209"/>
      <c r="D578" s="209"/>
      <c r="E578" s="209"/>
    </row>
    <row r="579" spans="1:5" ht="22.05" hidden="1" customHeight="1" outlineLevel="1">
      <c r="A579" s="210" t="s">
        <v>1256</v>
      </c>
      <c r="B579" s="822" t="s">
        <v>1257</v>
      </c>
      <c r="C579" s="822" t="s">
        <v>1258</v>
      </c>
      <c r="D579" s="824" t="s">
        <v>1259</v>
      </c>
      <c r="E579" s="825"/>
    </row>
    <row r="580" spans="1:5" ht="22.05" hidden="1" customHeight="1" outlineLevel="1">
      <c r="A580" s="211"/>
      <c r="B580" s="823"/>
      <c r="C580" s="823"/>
      <c r="D580" s="788" t="s">
        <v>1260</v>
      </c>
      <c r="E580" s="788" t="s">
        <v>1261</v>
      </c>
    </row>
    <row r="581" spans="1:5" ht="22.05" hidden="1" customHeight="1" outlineLevel="1">
      <c r="A581" s="212" t="s">
        <v>1359</v>
      </c>
      <c r="B581" s="239">
        <v>184392181</v>
      </c>
      <c r="C581" s="239">
        <f>C617</f>
        <v>184392181</v>
      </c>
      <c r="D581" s="239">
        <f>D617</f>
        <v>202831399.10000002</v>
      </c>
      <c r="E581" s="239">
        <f>E617</f>
        <v>223114539.01000005</v>
      </c>
    </row>
    <row r="582" spans="1:5" ht="22.05" hidden="1" customHeight="1" outlineLevel="1">
      <c r="A582" s="214" t="s">
        <v>1360</v>
      </c>
      <c r="B582" s="247">
        <v>184392181</v>
      </c>
      <c r="C582" s="247">
        <f>C581</f>
        <v>184392181</v>
      </c>
      <c r="D582" s="247">
        <f>D581</f>
        <v>202831399.10000002</v>
      </c>
      <c r="E582" s="247">
        <f>E581</f>
        <v>223114539.01000005</v>
      </c>
    </row>
    <row r="583" spans="1:5" ht="22.05" hidden="1" customHeight="1" outlineLevel="1">
      <c r="A583" s="212" t="s">
        <v>1361</v>
      </c>
      <c r="B583" s="239">
        <v>14618000</v>
      </c>
      <c r="C583" s="239">
        <f>C631</f>
        <v>53168000</v>
      </c>
      <c r="D583" s="239">
        <f>D631</f>
        <v>58484800.000000007</v>
      </c>
      <c r="E583" s="239">
        <f>E631</f>
        <v>64333280.000000015</v>
      </c>
    </row>
    <row r="584" spans="1:5" ht="22.05" hidden="1" customHeight="1" outlineLevel="1">
      <c r="A584" s="214" t="s">
        <v>1362</v>
      </c>
      <c r="B584" s="252">
        <v>14618000</v>
      </c>
      <c r="C584" s="252">
        <f>C583</f>
        <v>53168000</v>
      </c>
      <c r="D584" s="252">
        <f>D583</f>
        <v>58484800.000000007</v>
      </c>
      <c r="E584" s="252">
        <f>E583</f>
        <v>64333280.000000015</v>
      </c>
    </row>
    <row r="585" spans="1:5" ht="22.05" hidden="1" customHeight="1" outlineLevel="1">
      <c r="A585" s="212" t="s">
        <v>1363</v>
      </c>
      <c r="B585" s="239">
        <v>735712452</v>
      </c>
      <c r="C585" s="239">
        <f>C644</f>
        <v>327608000</v>
      </c>
      <c r="D585" s="239">
        <f>D644</f>
        <v>360368800</v>
      </c>
      <c r="E585" s="239">
        <f>E644</f>
        <v>396405680.00000006</v>
      </c>
    </row>
    <row r="586" spans="1:5" ht="22.05" hidden="1" customHeight="1" outlineLevel="1">
      <c r="A586" s="212" t="s">
        <v>1364</v>
      </c>
      <c r="B586" s="239">
        <v>87638000</v>
      </c>
      <c r="C586" s="239">
        <f>C657</f>
        <v>56640000</v>
      </c>
      <c r="D586" s="239">
        <f>D657</f>
        <v>62304000.000000007</v>
      </c>
      <c r="E586" s="239">
        <f>E657</f>
        <v>68534400.000000015</v>
      </c>
    </row>
    <row r="587" spans="1:5" ht="22.05" hidden="1" customHeight="1" outlineLevel="1">
      <c r="A587" s="212" t="s">
        <v>1365</v>
      </c>
      <c r="B587" s="239">
        <v>56075217</v>
      </c>
      <c r="C587" s="239">
        <f>C671</f>
        <v>31073217</v>
      </c>
      <c r="D587" s="239">
        <f t="shared" ref="D587:E587" si="222">D671</f>
        <v>34180538.700000003</v>
      </c>
      <c r="E587" s="239">
        <f t="shared" si="222"/>
        <v>37598592.570000008</v>
      </c>
    </row>
    <row r="588" spans="1:5" ht="22.05" hidden="1" customHeight="1" outlineLevel="1">
      <c r="A588" s="214" t="s">
        <v>1366</v>
      </c>
      <c r="B588" s="247">
        <v>879425669</v>
      </c>
      <c r="C588" s="247">
        <f>SUM(C585:C587)</f>
        <v>415321217</v>
      </c>
      <c r="D588" s="247">
        <f t="shared" ref="D588:E588" si="223">SUM(D585:D587)</f>
        <v>456853338.69999999</v>
      </c>
      <c r="E588" s="247">
        <f t="shared" si="223"/>
        <v>502538672.57000005</v>
      </c>
    </row>
    <row r="589" spans="1:5" ht="22.05" hidden="1" customHeight="1" outlineLevel="1">
      <c r="A589" s="218" t="s">
        <v>1285</v>
      </c>
      <c r="B589" s="247">
        <v>1078435850</v>
      </c>
      <c r="C589" s="247">
        <f>SUM(C588,C584,C582)</f>
        <v>652881398</v>
      </c>
      <c r="D589" s="247">
        <f>SUM(D588,D584,D582)</f>
        <v>718169537.79999995</v>
      </c>
      <c r="E589" s="247">
        <f>SUM(E588,E584,E582)</f>
        <v>789986491.58000016</v>
      </c>
    </row>
    <row r="590" spans="1:5" ht="22.05" hidden="1" customHeight="1" outlineLevel="1">
      <c r="A590" s="237"/>
      <c r="B590" s="209"/>
      <c r="C590" s="209"/>
      <c r="D590" s="209"/>
      <c r="E590" s="209"/>
    </row>
    <row r="591" spans="1:5" ht="22.05" hidden="1" customHeight="1" outlineLevel="1">
      <c r="A591" s="237"/>
      <c r="B591" s="209"/>
      <c r="C591" s="209"/>
      <c r="D591" s="209"/>
      <c r="E591" s="209"/>
    </row>
    <row r="592" spans="1:5" ht="22.05" hidden="1" customHeight="1" outlineLevel="1">
      <c r="A592" s="201" t="s">
        <v>1323</v>
      </c>
      <c r="B592" s="244"/>
      <c r="C592" s="244"/>
      <c r="D592" s="244"/>
      <c r="E592" s="244"/>
    </row>
    <row r="593" spans="1:6" ht="22.05" hidden="1" customHeight="1" outlineLevel="1">
      <c r="A593" s="210" t="s">
        <v>1287</v>
      </c>
      <c r="B593" s="822" t="s">
        <v>1257</v>
      </c>
      <c r="C593" s="822" t="s">
        <v>1258</v>
      </c>
      <c r="D593" s="824" t="s">
        <v>1259</v>
      </c>
      <c r="E593" s="825"/>
    </row>
    <row r="594" spans="1:6" ht="22.05" hidden="1" customHeight="1" outlineLevel="1">
      <c r="A594" s="211"/>
      <c r="B594" s="823"/>
      <c r="C594" s="823"/>
      <c r="D594" s="788" t="s">
        <v>1260</v>
      </c>
      <c r="E594" s="788" t="s">
        <v>1261</v>
      </c>
    </row>
    <row r="595" spans="1:6" ht="22.05" hidden="1" customHeight="1" outlineLevel="1">
      <c r="A595" s="253" t="s">
        <v>1298</v>
      </c>
      <c r="B595" s="247">
        <v>246681398</v>
      </c>
      <c r="C595" s="247">
        <f>SUM(C596:C598)</f>
        <v>210981398</v>
      </c>
      <c r="D595" s="247">
        <f>SUM(D596:D598)</f>
        <v>232079537.80000001</v>
      </c>
      <c r="E595" s="247">
        <f>SUM(E596:E598)</f>
        <v>255287491.58000004</v>
      </c>
    </row>
    <row r="596" spans="1:6" ht="22.05" hidden="1" customHeight="1" outlineLevel="1">
      <c r="A596" s="254" t="s">
        <v>1288</v>
      </c>
      <c r="B596" s="239">
        <v>177392181</v>
      </c>
      <c r="C596" s="239">
        <f>C611+C625+C638+C651+C665</f>
        <v>177392181</v>
      </c>
      <c r="D596" s="239">
        <f t="shared" ref="D596:E596" si="224">D611+D625+D638+D651+D665</f>
        <v>195131399.10000002</v>
      </c>
      <c r="E596" s="239">
        <f t="shared" si="224"/>
        <v>214644539.01000005</v>
      </c>
    </row>
    <row r="597" spans="1:6" ht="22.05" hidden="1" customHeight="1" outlineLevel="1">
      <c r="A597" s="254" t="s">
        <v>1289</v>
      </c>
      <c r="B597" s="239">
        <v>40539217</v>
      </c>
      <c r="C597" s="239">
        <f t="shared" ref="C597:E601" si="225">C612+C626+C639+C652+C666</f>
        <v>29484217</v>
      </c>
      <c r="D597" s="239">
        <f t="shared" si="225"/>
        <v>32432638.700000003</v>
      </c>
      <c r="E597" s="239">
        <f t="shared" si="225"/>
        <v>35675902.570000008</v>
      </c>
    </row>
    <row r="598" spans="1:6" ht="22.05" hidden="1" customHeight="1" outlineLevel="1">
      <c r="A598" s="254" t="s">
        <v>1290</v>
      </c>
      <c r="B598" s="239">
        <v>28750000</v>
      </c>
      <c r="C598" s="239">
        <f t="shared" si="225"/>
        <v>4105000</v>
      </c>
      <c r="D598" s="239">
        <f t="shared" si="225"/>
        <v>4515500</v>
      </c>
      <c r="E598" s="239">
        <f t="shared" si="225"/>
        <v>4967050</v>
      </c>
    </row>
    <row r="599" spans="1:6" ht="22.05" hidden="1" customHeight="1" outlineLevel="1">
      <c r="A599" s="253" t="s">
        <v>1291</v>
      </c>
      <c r="B599" s="247">
        <v>831754452</v>
      </c>
      <c r="C599" s="247">
        <f>C600+C601</f>
        <v>441900000</v>
      </c>
      <c r="D599" s="247">
        <f>D600+D601</f>
        <v>486090000</v>
      </c>
      <c r="E599" s="247">
        <f>E600+E601</f>
        <v>534699000.00000006</v>
      </c>
    </row>
    <row r="600" spans="1:6" ht="22.05" hidden="1" customHeight="1" outlineLevel="1">
      <c r="A600" s="254" t="s">
        <v>1292</v>
      </c>
      <c r="B600" s="239">
        <v>831754452</v>
      </c>
      <c r="C600" s="239">
        <f t="shared" si="225"/>
        <v>441900000</v>
      </c>
      <c r="D600" s="239">
        <f t="shared" si="225"/>
        <v>486090000</v>
      </c>
      <c r="E600" s="239">
        <f t="shared" si="225"/>
        <v>534699000.00000006</v>
      </c>
    </row>
    <row r="601" spans="1:6" ht="22.05" hidden="1" customHeight="1" outlineLevel="1">
      <c r="A601" s="254" t="s">
        <v>1293</v>
      </c>
      <c r="B601" s="239">
        <v>0</v>
      </c>
      <c r="C601" s="239">
        <f t="shared" si="225"/>
        <v>0</v>
      </c>
      <c r="D601" s="239">
        <f t="shared" si="225"/>
        <v>0</v>
      </c>
      <c r="E601" s="239">
        <f t="shared" si="225"/>
        <v>0</v>
      </c>
    </row>
    <row r="602" spans="1:6" ht="22.05" hidden="1" customHeight="1" outlineLevel="1">
      <c r="A602" s="253" t="s">
        <v>1294</v>
      </c>
      <c r="B602" s="247">
        <v>1078435850</v>
      </c>
      <c r="C602" s="247">
        <f>C599+C595</f>
        <v>652881398</v>
      </c>
      <c r="D602" s="247">
        <f>D599+D595</f>
        <v>718169537.79999995</v>
      </c>
      <c r="E602" s="247">
        <f>E599+E595</f>
        <v>789986491.58000016</v>
      </c>
      <c r="F602" s="246"/>
    </row>
    <row r="603" spans="1:6" ht="22.05" hidden="1" customHeight="1" outlineLevel="1">
      <c r="A603" s="237"/>
      <c r="B603" s="209"/>
      <c r="C603" s="209"/>
      <c r="D603" s="209"/>
      <c r="E603" s="209"/>
    </row>
    <row r="604" spans="1:6" ht="22.05" hidden="1" customHeight="1" outlineLevel="1">
      <c r="A604" s="201" t="s">
        <v>1295</v>
      </c>
      <c r="B604" s="244"/>
      <c r="C604" s="244"/>
      <c r="D604" s="244"/>
      <c r="E604" s="244"/>
    </row>
    <row r="605" spans="1:6" ht="22.05" hidden="1" customHeight="1" outlineLevel="1">
      <c r="A605" s="201"/>
      <c r="B605" s="244"/>
      <c r="C605" s="244"/>
      <c r="D605" s="244"/>
      <c r="E605" s="244"/>
    </row>
    <row r="606" spans="1:6" ht="22.05" hidden="1" customHeight="1" outlineLevel="1">
      <c r="A606" s="201" t="s">
        <v>1367</v>
      </c>
      <c r="B606" s="244"/>
      <c r="C606" s="244"/>
      <c r="D606" s="244"/>
      <c r="E606" s="244"/>
    </row>
    <row r="607" spans="1:6" ht="22.05" hidden="1" customHeight="1" outlineLevel="1">
      <c r="A607" s="201" t="s">
        <v>1368</v>
      </c>
      <c r="B607" s="244"/>
      <c r="C607" s="244"/>
      <c r="D607" s="244"/>
      <c r="E607" s="244"/>
    </row>
    <row r="608" spans="1:6" ht="22.05" hidden="1" customHeight="1" outlineLevel="1">
      <c r="A608" s="210" t="s">
        <v>1287</v>
      </c>
      <c r="B608" s="822" t="s">
        <v>1257</v>
      </c>
      <c r="C608" s="822" t="s">
        <v>1258</v>
      </c>
      <c r="D608" s="824" t="s">
        <v>1259</v>
      </c>
      <c r="E608" s="825"/>
    </row>
    <row r="609" spans="1:5" ht="22.05" hidden="1" customHeight="1" outlineLevel="1">
      <c r="A609" s="211"/>
      <c r="B609" s="823"/>
      <c r="C609" s="823"/>
      <c r="D609" s="788" t="s">
        <v>1260</v>
      </c>
      <c r="E609" s="788" t="s">
        <v>1261</v>
      </c>
    </row>
    <row r="610" spans="1:5" ht="22.05" hidden="1" customHeight="1" outlineLevel="1">
      <c r="A610" s="218" t="s">
        <v>1298</v>
      </c>
      <c r="B610" s="247">
        <v>184392181</v>
      </c>
      <c r="C610" s="247">
        <f>SUM(C611:C613)</f>
        <v>184392181</v>
      </c>
      <c r="D610" s="247">
        <f>SUM(D611:D613)</f>
        <v>202831399.10000002</v>
      </c>
      <c r="E610" s="247">
        <f>SUM(E611:E613)</f>
        <v>223114539.01000005</v>
      </c>
    </row>
    <row r="611" spans="1:5" ht="22.05" hidden="1" customHeight="1" outlineLevel="1">
      <c r="A611" s="224" t="s">
        <v>1288</v>
      </c>
      <c r="B611" s="239">
        <v>177392181</v>
      </c>
      <c r="C611" s="239">
        <f>'Itemized Budget 2026-27'!E1632</f>
        <v>177392181</v>
      </c>
      <c r="D611" s="239">
        <f>C611*1.1</f>
        <v>195131399.10000002</v>
      </c>
      <c r="E611" s="239">
        <f>D611*1.1</f>
        <v>214644539.01000005</v>
      </c>
    </row>
    <row r="612" spans="1:5" ht="22.05" hidden="1" customHeight="1" outlineLevel="1">
      <c r="A612" s="224" t="s">
        <v>1289</v>
      </c>
      <c r="B612" s="239">
        <v>6400000</v>
      </c>
      <c r="C612" s="239">
        <f>'Itemized Budget 2026-27'!E1664-'Itemized Budget 2026-27'!E1661-'Itemized Budget 2026-27'!E1632</f>
        <v>6545000</v>
      </c>
      <c r="D612" s="239">
        <f t="shared" ref="D612:E612" si="226">C612*1.1</f>
        <v>7199500.0000000009</v>
      </c>
      <c r="E612" s="239">
        <f t="shared" si="226"/>
        <v>7919450.0000000019</v>
      </c>
    </row>
    <row r="613" spans="1:5" ht="22.05" hidden="1" customHeight="1" outlineLevel="1">
      <c r="A613" s="224" t="s">
        <v>1369</v>
      </c>
      <c r="B613" s="239">
        <v>600000</v>
      </c>
      <c r="C613" s="239">
        <f>'Itemized Budget 2026-27'!E1661</f>
        <v>455000</v>
      </c>
      <c r="D613" s="239">
        <f t="shared" ref="D613:E613" si="227">C613*1.1</f>
        <v>500500.00000000006</v>
      </c>
      <c r="E613" s="239">
        <f t="shared" si="227"/>
        <v>550550.00000000012</v>
      </c>
    </row>
    <row r="614" spans="1:5" ht="22.05" hidden="1" customHeight="1" outlineLevel="1">
      <c r="A614" s="218" t="s">
        <v>1291</v>
      </c>
      <c r="B614" s="247">
        <v>0</v>
      </c>
      <c r="C614" s="247">
        <f>SUM(C615:C616)</f>
        <v>0</v>
      </c>
      <c r="D614" s="247">
        <f t="shared" ref="D614:E614" si="228">SUM(D615:D616)</f>
        <v>0</v>
      </c>
      <c r="E614" s="247">
        <f t="shared" si="228"/>
        <v>0</v>
      </c>
    </row>
    <row r="615" spans="1:5" ht="22.05" hidden="1" customHeight="1" outlineLevel="1">
      <c r="A615" s="224" t="s">
        <v>1299</v>
      </c>
      <c r="B615" s="239">
        <v>0</v>
      </c>
      <c r="C615" s="239">
        <v>0</v>
      </c>
      <c r="D615" s="239">
        <f t="shared" ref="D615:E615" si="229">C615*1.1</f>
        <v>0</v>
      </c>
      <c r="E615" s="239">
        <f t="shared" si="229"/>
        <v>0</v>
      </c>
    </row>
    <row r="616" spans="1:5" ht="22.05" hidden="1" customHeight="1" outlineLevel="1">
      <c r="A616" s="224" t="s">
        <v>1300</v>
      </c>
      <c r="B616" s="239">
        <v>0</v>
      </c>
      <c r="C616" s="239">
        <v>0</v>
      </c>
      <c r="D616" s="239">
        <f t="shared" ref="D616:E616" si="230">C616*1.1</f>
        <v>0</v>
      </c>
      <c r="E616" s="239">
        <f t="shared" si="230"/>
        <v>0</v>
      </c>
    </row>
    <row r="617" spans="1:5" ht="22.05" hidden="1" customHeight="1" outlineLevel="1">
      <c r="A617" s="218" t="s">
        <v>1301</v>
      </c>
      <c r="B617" s="247">
        <v>184392181</v>
      </c>
      <c r="C617" s="247">
        <f>SUM(C614,C610)</f>
        <v>184392181</v>
      </c>
      <c r="D617" s="247">
        <f>SUM(D614,D610)</f>
        <v>202831399.10000002</v>
      </c>
      <c r="E617" s="247">
        <f>SUM(E614,E610)</f>
        <v>223114539.01000005</v>
      </c>
    </row>
    <row r="618" spans="1:5" ht="22.05" hidden="1" customHeight="1" outlineLevel="1">
      <c r="A618" s="201"/>
      <c r="B618" s="244"/>
      <c r="C618" s="244"/>
      <c r="D618" s="244"/>
      <c r="E618" s="244"/>
    </row>
    <row r="619" spans="1:5" ht="22.05" hidden="1" customHeight="1" outlineLevel="1">
      <c r="A619" s="201"/>
      <c r="B619" s="244"/>
      <c r="C619" s="244"/>
      <c r="D619" s="244"/>
      <c r="E619" s="244"/>
    </row>
    <row r="620" spans="1:5" ht="22.05" hidden="1" customHeight="1" outlineLevel="1">
      <c r="A620" s="201" t="s">
        <v>1370</v>
      </c>
      <c r="B620" s="244"/>
      <c r="C620" s="244"/>
      <c r="D620" s="244"/>
      <c r="E620" s="244"/>
    </row>
    <row r="621" spans="1:5" ht="22.05" hidden="1" customHeight="1" outlineLevel="1">
      <c r="A621" s="201" t="s">
        <v>1371</v>
      </c>
      <c r="B621" s="244"/>
      <c r="C621" s="244"/>
      <c r="D621" s="244"/>
      <c r="E621" s="244"/>
    </row>
    <row r="622" spans="1:5" ht="22.05" hidden="1" customHeight="1" outlineLevel="1">
      <c r="A622" s="210" t="s">
        <v>1287</v>
      </c>
      <c r="B622" s="822" t="s">
        <v>1257</v>
      </c>
      <c r="C622" s="822" t="s">
        <v>1258</v>
      </c>
      <c r="D622" s="824" t="s">
        <v>1259</v>
      </c>
      <c r="E622" s="825"/>
    </row>
    <row r="623" spans="1:5" ht="22.05" hidden="1" customHeight="1" outlineLevel="1">
      <c r="A623" s="211"/>
      <c r="B623" s="823"/>
      <c r="C623" s="823"/>
      <c r="D623" s="788" t="s">
        <v>1260</v>
      </c>
      <c r="E623" s="788" t="s">
        <v>1261</v>
      </c>
    </row>
    <row r="624" spans="1:5" s="201" customFormat="1" ht="22.05" hidden="1" customHeight="1" outlineLevel="1">
      <c r="A624" s="253" t="s">
        <v>1298</v>
      </c>
      <c r="B624" s="247">
        <v>9318000</v>
      </c>
      <c r="C624" s="247">
        <f>SUM(C625:C627)</f>
        <v>7168000</v>
      </c>
      <c r="D624" s="247">
        <f>SUM(D625:D627)</f>
        <v>7884800.0000000009</v>
      </c>
      <c r="E624" s="247">
        <f>SUM(E625:E627)</f>
        <v>8673280.0000000019</v>
      </c>
    </row>
    <row r="625" spans="1:5" s="201" customFormat="1" ht="22.05" hidden="1" customHeight="1" outlineLevel="1">
      <c r="A625" s="254" t="s">
        <v>1288</v>
      </c>
      <c r="B625" s="239"/>
      <c r="C625" s="239"/>
      <c r="D625" s="239">
        <f t="shared" ref="D625:E625" si="231">C625*1.1</f>
        <v>0</v>
      </c>
      <c r="E625" s="239">
        <f t="shared" si="231"/>
        <v>0</v>
      </c>
    </row>
    <row r="626" spans="1:5" ht="22.05" hidden="1" customHeight="1" outlineLevel="1">
      <c r="A626" s="254" t="s">
        <v>1289</v>
      </c>
      <c r="B626" s="239">
        <v>6118000</v>
      </c>
      <c r="C626" s="239">
        <f>'Itemized Budget 2026-27'!E1706-'Itemized Budget 2026-27'!E1704-'Itemized Budget 2026-27'!E1701</f>
        <v>6168000</v>
      </c>
      <c r="D626" s="239">
        <f t="shared" ref="D626:E626" si="232">C626*1.1</f>
        <v>6784800.0000000009</v>
      </c>
      <c r="E626" s="239">
        <f t="shared" si="232"/>
        <v>7463280.0000000019</v>
      </c>
    </row>
    <row r="627" spans="1:5" ht="22.05" hidden="1" customHeight="1" outlineLevel="1">
      <c r="A627" s="224" t="s">
        <v>1290</v>
      </c>
      <c r="B627" s="239">
        <v>3200000</v>
      </c>
      <c r="C627" s="239">
        <f>'Itemized Budget 2026-27'!E1704+'Itemized Budget 2026-27'!E1701</f>
        <v>1000000</v>
      </c>
      <c r="D627" s="239">
        <f t="shared" ref="D627:E627" si="233">C627*1.1</f>
        <v>1100000</v>
      </c>
      <c r="E627" s="239">
        <f t="shared" si="233"/>
        <v>1210000</v>
      </c>
    </row>
    <row r="628" spans="1:5" ht="22.05" hidden="1" customHeight="1" outlineLevel="1">
      <c r="A628" s="218" t="s">
        <v>1291</v>
      </c>
      <c r="B628" s="247">
        <v>5300000</v>
      </c>
      <c r="C628" s="247">
        <f>SUM(C629:C630)</f>
        <v>46000000</v>
      </c>
      <c r="D628" s="247">
        <f t="shared" ref="D628:E628" si="234">SUM(D629:D630)</f>
        <v>50600000.000000007</v>
      </c>
      <c r="E628" s="247">
        <f t="shared" si="234"/>
        <v>55660000.000000015</v>
      </c>
    </row>
    <row r="629" spans="1:5" ht="22.05" hidden="1" customHeight="1" outlineLevel="1">
      <c r="A629" s="224" t="s">
        <v>1299</v>
      </c>
      <c r="B629" s="239">
        <v>5300000</v>
      </c>
      <c r="C629" s="239">
        <f>'Itemized Budget 2026-27'!E1717</f>
        <v>46000000</v>
      </c>
      <c r="D629" s="239">
        <f t="shared" ref="D629:E629" si="235">C629*1.1</f>
        <v>50600000.000000007</v>
      </c>
      <c r="E629" s="239">
        <f t="shared" si="235"/>
        <v>55660000.000000015</v>
      </c>
    </row>
    <row r="630" spans="1:5" ht="22.05" hidden="1" customHeight="1" outlineLevel="1">
      <c r="A630" s="224" t="s">
        <v>1300</v>
      </c>
      <c r="B630" s="239"/>
      <c r="C630" s="239"/>
      <c r="D630" s="239">
        <f t="shared" ref="D630:E630" si="236">C630*1.1</f>
        <v>0</v>
      </c>
      <c r="E630" s="239">
        <f t="shared" si="236"/>
        <v>0</v>
      </c>
    </row>
    <row r="631" spans="1:5" ht="22.05" hidden="1" customHeight="1" outlineLevel="1">
      <c r="A631" s="218" t="s">
        <v>1301</v>
      </c>
      <c r="B631" s="247">
        <v>14618000</v>
      </c>
      <c r="C631" s="247">
        <f>SUM(C628,C624)</f>
        <v>53168000</v>
      </c>
      <c r="D631" s="247">
        <f>SUM(D628,D624)</f>
        <v>58484800.000000007</v>
      </c>
      <c r="E631" s="247">
        <f>SUM(E628,E624)</f>
        <v>64333280.000000015</v>
      </c>
    </row>
    <row r="632" spans="1:5" ht="22.05" hidden="1" customHeight="1" outlineLevel="1">
      <c r="A632" s="201"/>
      <c r="B632" s="244"/>
      <c r="C632" s="244"/>
      <c r="D632" s="244"/>
      <c r="E632" s="244"/>
    </row>
    <row r="633" spans="1:5" ht="22.05" hidden="1" customHeight="1" outlineLevel="1">
      <c r="A633" s="201" t="s">
        <v>1372</v>
      </c>
      <c r="B633" s="244"/>
      <c r="C633" s="244"/>
      <c r="D633" s="244"/>
      <c r="E633" s="244"/>
    </row>
    <row r="634" spans="1:5" ht="22.05" hidden="1" customHeight="1" outlineLevel="1">
      <c r="A634" s="201" t="s">
        <v>1373</v>
      </c>
      <c r="B634" s="244"/>
      <c r="C634" s="244"/>
      <c r="D634" s="244"/>
      <c r="E634" s="244"/>
    </row>
    <row r="635" spans="1:5" ht="22.05" hidden="1" customHeight="1" outlineLevel="1">
      <c r="A635" s="210" t="s">
        <v>1287</v>
      </c>
      <c r="B635" s="822" t="s">
        <v>1257</v>
      </c>
      <c r="C635" s="822" t="s">
        <v>1258</v>
      </c>
      <c r="D635" s="824" t="s">
        <v>1259</v>
      </c>
      <c r="E635" s="825"/>
    </row>
    <row r="636" spans="1:5" ht="22.05" hidden="1" customHeight="1" outlineLevel="1">
      <c r="A636" s="211"/>
      <c r="B636" s="823"/>
      <c r="C636" s="823"/>
      <c r="D636" s="788" t="s">
        <v>1260</v>
      </c>
      <c r="E636" s="788" t="s">
        <v>1261</v>
      </c>
    </row>
    <row r="637" spans="1:5" ht="22.05" hidden="1" customHeight="1" outlineLevel="1">
      <c r="A637" s="218" t="s">
        <v>1298</v>
      </c>
      <c r="B637" s="247">
        <v>8158000</v>
      </c>
      <c r="C637" s="247">
        <f>SUM(C638:C640)</f>
        <v>8108000</v>
      </c>
      <c r="D637" s="247">
        <f>SUM(D638:D640)</f>
        <v>8918800</v>
      </c>
      <c r="E637" s="247">
        <f>SUM(E638:E640)</f>
        <v>9810680.0000000019</v>
      </c>
    </row>
    <row r="638" spans="1:5" ht="22.05" hidden="1" customHeight="1" outlineLevel="1">
      <c r="A638" s="224" t="s">
        <v>1288</v>
      </c>
      <c r="B638" s="239"/>
      <c r="C638" s="239"/>
      <c r="D638" s="239">
        <f t="shared" ref="D638:E638" si="237">C638*1.1</f>
        <v>0</v>
      </c>
      <c r="E638" s="239">
        <f t="shared" si="237"/>
        <v>0</v>
      </c>
    </row>
    <row r="639" spans="1:5" ht="22.05" hidden="1" customHeight="1" outlineLevel="1">
      <c r="A639" s="224" t="s">
        <v>1289</v>
      </c>
      <c r="B639" s="239">
        <v>6808000</v>
      </c>
      <c r="C639" s="239">
        <f>'Itemized Budget 2026-27'!E1762-'Itemized Budget 2026-27'!E1760-'Itemized Budget 2026-27'!E1757</f>
        <v>7008000</v>
      </c>
      <c r="D639" s="239">
        <f t="shared" ref="D639:E639" si="238">C639*1.1</f>
        <v>7708800.0000000009</v>
      </c>
      <c r="E639" s="239">
        <f t="shared" si="238"/>
        <v>8479680.0000000019</v>
      </c>
    </row>
    <row r="640" spans="1:5" ht="22.05" hidden="1" customHeight="1" outlineLevel="1">
      <c r="A640" s="224" t="s">
        <v>1290</v>
      </c>
      <c r="B640" s="239">
        <v>1350000</v>
      </c>
      <c r="C640" s="239">
        <f>'Itemized Budget 2026-27'!E1760+'Itemized Budget 2026-27'!E1757</f>
        <v>1100000</v>
      </c>
      <c r="D640" s="239">
        <f t="shared" ref="D640:E640" si="239">C640*1.1</f>
        <v>1210000</v>
      </c>
      <c r="E640" s="239">
        <f t="shared" si="239"/>
        <v>1331000</v>
      </c>
    </row>
    <row r="641" spans="1:5" ht="22.05" hidden="1" customHeight="1" outlineLevel="1">
      <c r="A641" s="218" t="s">
        <v>1291</v>
      </c>
      <c r="B641" s="247">
        <v>727554452</v>
      </c>
      <c r="C641" s="247">
        <f>SUM(C642:C643)</f>
        <v>319500000</v>
      </c>
      <c r="D641" s="247">
        <f t="shared" ref="D641:E641" si="240">SUM(D642:D643)</f>
        <v>351450000</v>
      </c>
      <c r="E641" s="247">
        <f t="shared" si="240"/>
        <v>386595000.00000006</v>
      </c>
    </row>
    <row r="642" spans="1:5" ht="22.05" hidden="1" customHeight="1" outlineLevel="1">
      <c r="A642" s="224" t="s">
        <v>1299</v>
      </c>
      <c r="B642" s="239">
        <v>727554452</v>
      </c>
      <c r="C642" s="239">
        <f>'Itemized Budget 2026-27'!E1773</f>
        <v>319500000</v>
      </c>
      <c r="D642" s="239">
        <f t="shared" ref="D642:E642" si="241">C642*1.1</f>
        <v>351450000</v>
      </c>
      <c r="E642" s="239">
        <f t="shared" si="241"/>
        <v>386595000.00000006</v>
      </c>
    </row>
    <row r="643" spans="1:5" ht="22.05" hidden="1" customHeight="1" outlineLevel="1">
      <c r="A643" s="224" t="s">
        <v>1300</v>
      </c>
      <c r="B643" s="239"/>
      <c r="C643" s="239"/>
      <c r="D643" s="239">
        <f t="shared" ref="D643:E643" si="242">C643*1.1</f>
        <v>0</v>
      </c>
      <c r="E643" s="239">
        <f t="shared" si="242"/>
        <v>0</v>
      </c>
    </row>
    <row r="644" spans="1:5" ht="22.05" hidden="1" customHeight="1" outlineLevel="1">
      <c r="A644" s="218" t="s">
        <v>1301</v>
      </c>
      <c r="B644" s="247">
        <v>735712452</v>
      </c>
      <c r="C644" s="247">
        <f>SUM(C641,C637)</f>
        <v>327608000</v>
      </c>
      <c r="D644" s="247">
        <f>SUM(D641,D637)</f>
        <v>360368800</v>
      </c>
      <c r="E644" s="247">
        <f>SUM(E641,E637)</f>
        <v>396405680.00000006</v>
      </c>
    </row>
    <row r="645" spans="1:5" ht="22.05" hidden="1" customHeight="1" outlineLevel="1">
      <c r="A645" s="201"/>
      <c r="B645" s="244"/>
      <c r="C645" s="244"/>
      <c r="D645" s="244"/>
      <c r="E645" s="244"/>
    </row>
    <row r="646" spans="1:5" ht="22.05" hidden="1" customHeight="1" outlineLevel="1">
      <c r="A646" s="201" t="s">
        <v>1374</v>
      </c>
      <c r="B646" s="244"/>
      <c r="C646" s="244"/>
      <c r="D646" s="244"/>
      <c r="E646" s="244"/>
    </row>
    <row r="647" spans="1:5" ht="22.05" hidden="1" customHeight="1" outlineLevel="1">
      <c r="A647" s="201" t="s">
        <v>1375</v>
      </c>
      <c r="B647" s="244"/>
      <c r="C647" s="244"/>
      <c r="D647" s="244"/>
      <c r="E647" s="244"/>
    </row>
    <row r="648" spans="1:5" ht="22.05" hidden="1" customHeight="1" outlineLevel="1">
      <c r="A648" s="210" t="s">
        <v>1287</v>
      </c>
      <c r="B648" s="822" t="s">
        <v>1257</v>
      </c>
      <c r="C648" s="822" t="s">
        <v>1258</v>
      </c>
      <c r="D648" s="824" t="s">
        <v>1259</v>
      </c>
      <c r="E648" s="825"/>
    </row>
    <row r="649" spans="1:5" ht="22.05" hidden="1" customHeight="1" outlineLevel="1">
      <c r="A649" s="211"/>
      <c r="B649" s="823"/>
      <c r="C649" s="823"/>
      <c r="D649" s="788" t="s">
        <v>1260</v>
      </c>
      <c r="E649" s="788" t="s">
        <v>1261</v>
      </c>
    </row>
    <row r="650" spans="1:5" ht="22.05" hidden="1" customHeight="1" outlineLevel="1">
      <c r="A650" s="218" t="s">
        <v>1298</v>
      </c>
      <c r="B650" s="247">
        <v>18238000</v>
      </c>
      <c r="C650" s="247">
        <f>SUM(C651:C653)</f>
        <v>7240000</v>
      </c>
      <c r="D650" s="247">
        <f>SUM(D651:D653)</f>
        <v>7964000.0000000009</v>
      </c>
      <c r="E650" s="247">
        <f>SUM(E651:E653)</f>
        <v>8760400.0000000019</v>
      </c>
    </row>
    <row r="651" spans="1:5" ht="22.05" hidden="1" customHeight="1" outlineLevel="1">
      <c r="A651" s="224" t="s">
        <v>1288</v>
      </c>
      <c r="B651" s="239"/>
      <c r="C651" s="239"/>
      <c r="D651" s="239">
        <f t="shared" ref="D651:E651" si="243">C651*1.1</f>
        <v>0</v>
      </c>
      <c r="E651" s="239">
        <f t="shared" si="243"/>
        <v>0</v>
      </c>
    </row>
    <row r="652" spans="1:5" ht="22.05" hidden="1" customHeight="1" outlineLevel="1">
      <c r="A652" s="224" t="s">
        <v>1289</v>
      </c>
      <c r="B652" s="239">
        <v>17238000</v>
      </c>
      <c r="C652" s="239">
        <f>'Itemized Budget 2026-27'!E1817-'Itemized Budget 2026-27'!E1815-'Itemized Budget 2026-27'!E1812</f>
        <v>6290000</v>
      </c>
      <c r="D652" s="239">
        <f t="shared" ref="D652:E652" si="244">C652*1.1</f>
        <v>6919000.0000000009</v>
      </c>
      <c r="E652" s="239">
        <f t="shared" si="244"/>
        <v>7610900.0000000019</v>
      </c>
    </row>
    <row r="653" spans="1:5" ht="22.05" hidden="1" customHeight="1" outlineLevel="1">
      <c r="A653" s="224" t="s">
        <v>1290</v>
      </c>
      <c r="B653" s="239">
        <v>1000000</v>
      </c>
      <c r="C653" s="239">
        <f>'Itemized Budget 2026-27'!E1815+'Itemized Budget 2026-27'!E1812</f>
        <v>950000</v>
      </c>
      <c r="D653" s="239">
        <f t="shared" ref="D653:E653" si="245">C653*1.1</f>
        <v>1045000.0000000001</v>
      </c>
      <c r="E653" s="239">
        <f t="shared" si="245"/>
        <v>1149500.0000000002</v>
      </c>
    </row>
    <row r="654" spans="1:5" ht="22.05" hidden="1" customHeight="1" outlineLevel="1">
      <c r="A654" s="218" t="s">
        <v>1291</v>
      </c>
      <c r="B654" s="247">
        <v>69400000</v>
      </c>
      <c r="C654" s="247">
        <f>SUM(C655:C656)</f>
        <v>49400000</v>
      </c>
      <c r="D654" s="247">
        <f t="shared" ref="D654:E654" si="246">SUM(D655:D656)</f>
        <v>54340000.000000007</v>
      </c>
      <c r="E654" s="247">
        <f t="shared" si="246"/>
        <v>59774000.000000015</v>
      </c>
    </row>
    <row r="655" spans="1:5" ht="22.05" hidden="1" customHeight="1" outlineLevel="1">
      <c r="A655" s="224" t="s">
        <v>1299</v>
      </c>
      <c r="B655" s="239">
        <v>69400000</v>
      </c>
      <c r="C655" s="239">
        <f>'Itemized Budget 2026-27'!E1832</f>
        <v>49400000</v>
      </c>
      <c r="D655" s="239">
        <f t="shared" ref="D655:E655" si="247">C655*1.1</f>
        <v>54340000.000000007</v>
      </c>
      <c r="E655" s="239">
        <f t="shared" si="247"/>
        <v>59774000.000000015</v>
      </c>
    </row>
    <row r="656" spans="1:5" ht="22.05" hidden="1" customHeight="1" outlineLevel="1">
      <c r="A656" s="224" t="s">
        <v>1300</v>
      </c>
      <c r="B656" s="239">
        <v>0</v>
      </c>
      <c r="C656" s="239">
        <v>0</v>
      </c>
      <c r="D656" s="239">
        <f t="shared" ref="D656:E656" si="248">C656*1.1</f>
        <v>0</v>
      </c>
      <c r="E656" s="239">
        <f t="shared" si="248"/>
        <v>0</v>
      </c>
    </row>
    <row r="657" spans="1:5" ht="22.05" hidden="1" customHeight="1" outlineLevel="1">
      <c r="A657" s="218" t="s">
        <v>1301</v>
      </c>
      <c r="B657" s="247">
        <v>87638000</v>
      </c>
      <c r="C657" s="247">
        <f>SUM(C654,C650)</f>
        <v>56640000</v>
      </c>
      <c r="D657" s="247">
        <f>SUM(D654,D650)</f>
        <v>62304000.000000007</v>
      </c>
      <c r="E657" s="247">
        <f>SUM(E654,E650)</f>
        <v>68534400.000000015</v>
      </c>
    </row>
    <row r="658" spans="1:5" ht="22.05" hidden="1" customHeight="1" outlineLevel="1">
      <c r="A658" s="201"/>
      <c r="B658" s="244"/>
      <c r="C658" s="244"/>
      <c r="D658" s="244"/>
      <c r="E658" s="244"/>
    </row>
    <row r="659" spans="1:5" ht="22.05" hidden="1" customHeight="1" outlineLevel="1">
      <c r="A659" s="201"/>
      <c r="B659" s="244"/>
      <c r="C659" s="244"/>
      <c r="D659" s="244"/>
      <c r="E659" s="244"/>
    </row>
    <row r="660" spans="1:5" ht="22.05" hidden="1" customHeight="1" outlineLevel="1">
      <c r="A660" s="201" t="s">
        <v>1374</v>
      </c>
      <c r="B660" s="244"/>
      <c r="C660" s="244"/>
      <c r="D660" s="244"/>
      <c r="E660" s="244"/>
    </row>
    <row r="661" spans="1:5" ht="22.05" hidden="1" customHeight="1" outlineLevel="1">
      <c r="A661" s="255" t="s">
        <v>1365</v>
      </c>
      <c r="B661" s="244"/>
      <c r="C661" s="244"/>
      <c r="D661" s="244"/>
      <c r="E661" s="244"/>
    </row>
    <row r="662" spans="1:5" ht="22.05" hidden="1" customHeight="1" outlineLevel="1">
      <c r="A662" s="210" t="s">
        <v>1287</v>
      </c>
      <c r="B662" s="822" t="s">
        <v>1257</v>
      </c>
      <c r="C662" s="822" t="s">
        <v>1258</v>
      </c>
      <c r="D662" s="824" t="s">
        <v>1259</v>
      </c>
      <c r="E662" s="825"/>
    </row>
    <row r="663" spans="1:5" ht="22.05" hidden="1" customHeight="1" outlineLevel="1">
      <c r="A663" s="211"/>
      <c r="B663" s="823"/>
      <c r="C663" s="823"/>
      <c r="D663" s="788" t="s">
        <v>1260</v>
      </c>
      <c r="E663" s="788" t="s">
        <v>1261</v>
      </c>
    </row>
    <row r="664" spans="1:5" ht="22.05" hidden="1" customHeight="1" outlineLevel="1">
      <c r="A664" s="218" t="s">
        <v>1298</v>
      </c>
      <c r="B664" s="247">
        <v>26575217</v>
      </c>
      <c r="C664" s="247">
        <f>SUM(C665:C667)</f>
        <v>4073217</v>
      </c>
      <c r="D664" s="247">
        <f>SUM(D665:D667)</f>
        <v>4480538.7</v>
      </c>
      <c r="E664" s="247">
        <f>SUM(E665:E667)</f>
        <v>4928592.57</v>
      </c>
    </row>
    <row r="665" spans="1:5" ht="22.05" hidden="1" customHeight="1" outlineLevel="1">
      <c r="A665" s="224" t="s">
        <v>1288</v>
      </c>
      <c r="B665" s="239"/>
      <c r="C665" s="239"/>
      <c r="D665" s="239">
        <f t="shared" ref="D665:E665" si="249">C665*1.1</f>
        <v>0</v>
      </c>
      <c r="E665" s="239">
        <f t="shared" si="249"/>
        <v>0</v>
      </c>
    </row>
    <row r="666" spans="1:5" ht="22.05" hidden="1" customHeight="1" outlineLevel="1">
      <c r="A666" s="224" t="s">
        <v>1289</v>
      </c>
      <c r="B666" s="239">
        <v>3975217</v>
      </c>
      <c r="C666" s="239">
        <f>'Itemized Budget 2026-27'!E1870-'Itemized Budget 2026-27'!E1867</f>
        <v>3473217</v>
      </c>
      <c r="D666" s="239">
        <f t="shared" ref="D666:E666" si="250">C666*1.1</f>
        <v>3820538.7</v>
      </c>
      <c r="E666" s="239">
        <f t="shared" si="250"/>
        <v>4202592.57</v>
      </c>
    </row>
    <row r="667" spans="1:5" ht="22.05" hidden="1" customHeight="1" outlineLevel="1">
      <c r="A667" s="224" t="s">
        <v>1290</v>
      </c>
      <c r="B667" s="239">
        <v>22600000</v>
      </c>
      <c r="C667" s="239">
        <f>'Itemized Budget 2026-27'!E1867</f>
        <v>600000</v>
      </c>
      <c r="D667" s="239">
        <f t="shared" ref="D667:E667" si="251">C667*1.1</f>
        <v>660000</v>
      </c>
      <c r="E667" s="239">
        <f t="shared" si="251"/>
        <v>726000.00000000012</v>
      </c>
    </row>
    <row r="668" spans="1:5" ht="22.05" hidden="1" customHeight="1" outlineLevel="1">
      <c r="A668" s="218" t="s">
        <v>1291</v>
      </c>
      <c r="B668" s="247">
        <v>29500000</v>
      </c>
      <c r="C668" s="247">
        <f>SUM(C669:C670)</f>
        <v>27000000</v>
      </c>
      <c r="D668" s="247">
        <f t="shared" ref="D668:E668" si="252">SUM(D669:D670)</f>
        <v>29700000.000000004</v>
      </c>
      <c r="E668" s="247">
        <f t="shared" si="252"/>
        <v>32670000.000000007</v>
      </c>
    </row>
    <row r="669" spans="1:5" ht="22.05" hidden="1" customHeight="1" outlineLevel="1">
      <c r="A669" s="224" t="s">
        <v>1299</v>
      </c>
      <c r="B669" s="239">
        <v>29500000</v>
      </c>
      <c r="C669" s="239">
        <f>'Itemized Budget 2026-27'!E1881</f>
        <v>27000000</v>
      </c>
      <c r="D669" s="239">
        <f t="shared" ref="D669:E669" si="253">C669*1.1</f>
        <v>29700000.000000004</v>
      </c>
      <c r="E669" s="239">
        <f t="shared" si="253"/>
        <v>32670000.000000007</v>
      </c>
    </row>
    <row r="670" spans="1:5" ht="22.05" hidden="1" customHeight="1" outlineLevel="1">
      <c r="A670" s="224" t="s">
        <v>1300</v>
      </c>
      <c r="B670" s="239">
        <v>0</v>
      </c>
      <c r="C670" s="239">
        <v>0</v>
      </c>
      <c r="D670" s="239">
        <f t="shared" ref="D670:E670" si="254">C670*1.1</f>
        <v>0</v>
      </c>
      <c r="E670" s="239">
        <f t="shared" si="254"/>
        <v>0</v>
      </c>
    </row>
    <row r="671" spans="1:5" ht="22.05" hidden="1" customHeight="1" outlineLevel="1">
      <c r="A671" s="218" t="s">
        <v>1301</v>
      </c>
      <c r="B671" s="247">
        <v>56075217</v>
      </c>
      <c r="C671" s="247">
        <f>SUM(C668,C664)</f>
        <v>31073217</v>
      </c>
      <c r="D671" s="247">
        <f>SUM(D668,D664)</f>
        <v>34180538.700000003</v>
      </c>
      <c r="E671" s="247">
        <f>SUM(E668,E664)</f>
        <v>37598592.570000008</v>
      </c>
    </row>
    <row r="672" spans="1:5" ht="22.05" customHeight="1" collapsed="1">
      <c r="B672" s="209"/>
      <c r="C672" s="209"/>
      <c r="D672" s="209"/>
      <c r="E672" s="209"/>
    </row>
    <row r="673" spans="1:6" ht="22.05" customHeight="1">
      <c r="A673" s="201" t="s">
        <v>495</v>
      </c>
      <c r="B673" s="208"/>
      <c r="C673" s="208"/>
    </row>
    <row r="674" spans="1:6" ht="22.05" hidden="1" customHeight="1" outlineLevel="1">
      <c r="A674" s="201" t="s">
        <v>1255</v>
      </c>
      <c r="B674" s="209"/>
      <c r="C674" s="209"/>
      <c r="D674" s="209"/>
      <c r="E674" s="209"/>
    </row>
    <row r="675" spans="1:6" ht="22.05" hidden="1" customHeight="1" outlineLevel="1">
      <c r="A675" s="210" t="s">
        <v>1256</v>
      </c>
      <c r="B675" s="822" t="s">
        <v>1257</v>
      </c>
      <c r="C675" s="822" t="s">
        <v>1258</v>
      </c>
      <c r="D675" s="824" t="s">
        <v>1259</v>
      </c>
      <c r="E675" s="825"/>
    </row>
    <row r="676" spans="1:6" ht="22.05" hidden="1" customHeight="1" outlineLevel="1">
      <c r="A676" s="211"/>
      <c r="B676" s="823"/>
      <c r="C676" s="823"/>
      <c r="D676" s="788" t="s">
        <v>1260</v>
      </c>
      <c r="E676" s="788" t="s">
        <v>1261</v>
      </c>
    </row>
    <row r="677" spans="1:6" ht="22.05" hidden="1" customHeight="1" outlineLevel="1">
      <c r="A677" s="212" t="s">
        <v>1376</v>
      </c>
      <c r="B677" s="217">
        <v>1022979692.03</v>
      </c>
      <c r="C677" s="217">
        <f>C723</f>
        <v>1086721254.9300001</v>
      </c>
      <c r="D677" s="217">
        <f>D723</f>
        <v>1195393380.4230003</v>
      </c>
      <c r="E677" s="217">
        <f>E723</f>
        <v>1314932718.4653003</v>
      </c>
    </row>
    <row r="678" spans="1:6" ht="22.05" hidden="1" customHeight="1" outlineLevel="1">
      <c r="A678" s="212" t="s">
        <v>1377</v>
      </c>
      <c r="B678" s="217">
        <v>4500000</v>
      </c>
      <c r="C678" s="217">
        <f>C736</f>
        <v>2000000</v>
      </c>
      <c r="D678" s="217">
        <f>D736</f>
        <v>2200000</v>
      </c>
      <c r="E678" s="217">
        <f>E736</f>
        <v>2420000</v>
      </c>
    </row>
    <row r="679" spans="1:6" ht="22.05" hidden="1" customHeight="1" outlineLevel="1">
      <c r="A679" s="212" t="s">
        <v>1378</v>
      </c>
      <c r="B679" s="217">
        <v>241837846.50400001</v>
      </c>
      <c r="C679" s="217">
        <f>C749</f>
        <v>233590308.104</v>
      </c>
      <c r="D679" s="217">
        <f>D749</f>
        <v>256949338.91440001</v>
      </c>
      <c r="E679" s="217">
        <f>E749</f>
        <v>282644272.80584008</v>
      </c>
    </row>
    <row r="680" spans="1:6" ht="22.05" hidden="1" customHeight="1" outlineLevel="1">
      <c r="A680" s="212" t="s">
        <v>1379</v>
      </c>
      <c r="B680" s="217">
        <v>1870000</v>
      </c>
      <c r="C680" s="217">
        <f>C762</f>
        <v>660000</v>
      </c>
      <c r="D680" s="217">
        <f>D762</f>
        <v>726000.00000000012</v>
      </c>
      <c r="E680" s="217">
        <f>E762</f>
        <v>798600.00000000023</v>
      </c>
    </row>
    <row r="681" spans="1:6" ht="22.05" hidden="1" customHeight="1" outlineLevel="1">
      <c r="A681" s="212" t="s">
        <v>1380</v>
      </c>
      <c r="B681" s="217">
        <v>336271167</v>
      </c>
      <c r="C681" s="217">
        <f>C787</f>
        <v>417622851.42857134</v>
      </c>
      <c r="D681" s="217">
        <f>D787</f>
        <v>459385136.57142854</v>
      </c>
      <c r="E681" s="217">
        <f>E787</f>
        <v>505323650.22857141</v>
      </c>
    </row>
    <row r="682" spans="1:6" ht="22.05" hidden="1" customHeight="1" outlineLevel="1">
      <c r="A682" s="214" t="s">
        <v>496</v>
      </c>
      <c r="B682" s="215">
        <v>1607458705.5339999</v>
      </c>
      <c r="C682" s="215">
        <f>SUM(C677:C681)</f>
        <v>1740594414.4625716</v>
      </c>
      <c r="D682" s="215">
        <f>SUM(D677:D681)</f>
        <v>1914653855.908829</v>
      </c>
      <c r="E682" s="215">
        <f>SUM(E677:E681)</f>
        <v>2106119241.4997118</v>
      </c>
    </row>
    <row r="683" spans="1:6" ht="22.05" hidden="1" customHeight="1" outlineLevel="1">
      <c r="A683" s="212" t="s">
        <v>1381</v>
      </c>
      <c r="B683" s="217">
        <v>0</v>
      </c>
      <c r="C683" s="217">
        <f>C775</f>
        <v>0</v>
      </c>
      <c r="D683" s="217">
        <f t="shared" ref="D683:E683" si="255">D775</f>
        <v>0</v>
      </c>
      <c r="E683" s="217">
        <f t="shared" si="255"/>
        <v>0</v>
      </c>
    </row>
    <row r="684" spans="1:6" ht="22.05" hidden="1" customHeight="1" outlineLevel="1">
      <c r="A684" s="212" t="s">
        <v>1382</v>
      </c>
      <c r="B684" s="217">
        <v>0</v>
      </c>
      <c r="C684" s="217">
        <f>C814</f>
        <v>0</v>
      </c>
      <c r="D684" s="217">
        <f>D814</f>
        <v>0</v>
      </c>
      <c r="E684" s="217">
        <f>E814</f>
        <v>0</v>
      </c>
    </row>
    <row r="685" spans="1:6" ht="22.05" hidden="1" customHeight="1" outlineLevel="1">
      <c r="A685" s="212" t="s">
        <v>1383</v>
      </c>
      <c r="B685" s="217">
        <v>3042442.7220000001</v>
      </c>
      <c r="C685" s="217">
        <f>C882</f>
        <v>1283942.7220000001</v>
      </c>
      <c r="D685" s="217">
        <f>D882</f>
        <v>1412336.9942000001</v>
      </c>
      <c r="E685" s="217">
        <f>E882</f>
        <v>1553570.6936200003</v>
      </c>
    </row>
    <row r="686" spans="1:6" ht="22.05" hidden="1" customHeight="1" outlineLevel="1">
      <c r="A686" s="212" t="s">
        <v>1384</v>
      </c>
      <c r="B686" s="217">
        <v>1201282331.7278099</v>
      </c>
      <c r="C686" s="217">
        <f>C830</f>
        <v>1237597283.0840001</v>
      </c>
      <c r="D686" s="217">
        <f>D830</f>
        <v>1361357011.3924003</v>
      </c>
      <c r="E686" s="217">
        <f>E830</f>
        <v>1497492712.5316405</v>
      </c>
    </row>
    <row r="687" spans="1:6" ht="22.05" hidden="1" customHeight="1" outlineLevel="1">
      <c r="A687" s="212" t="s">
        <v>1385</v>
      </c>
      <c r="B687" s="217">
        <v>5685000</v>
      </c>
      <c r="C687" s="217">
        <f>C843</f>
        <v>1000000</v>
      </c>
      <c r="D687" s="217">
        <f>D843</f>
        <v>1100000</v>
      </c>
      <c r="E687" s="217">
        <f>E843</f>
        <v>1210000</v>
      </c>
    </row>
    <row r="688" spans="1:6" ht="22.05" hidden="1" customHeight="1" outlineLevel="1">
      <c r="A688" s="212" t="s">
        <v>1386</v>
      </c>
      <c r="B688" s="217">
        <v>2244170.2200000002</v>
      </c>
      <c r="C688" s="217">
        <f>C856</f>
        <v>1544170.22</v>
      </c>
      <c r="D688" s="217">
        <f>D856</f>
        <v>1698587.2420000001</v>
      </c>
      <c r="E688" s="217">
        <f>E856</f>
        <v>1868445.9662000001</v>
      </c>
      <c r="F688" s="205" t="s">
        <v>1387</v>
      </c>
    </row>
    <row r="689" spans="1:5" ht="22.05" hidden="1" customHeight="1" outlineLevel="1">
      <c r="A689" s="212" t="s">
        <v>582</v>
      </c>
      <c r="B689" s="217">
        <v>33284483.473000001</v>
      </c>
      <c r="C689" s="217">
        <f>C906</f>
        <v>26557770.472999997</v>
      </c>
      <c r="D689" s="217">
        <f t="shared" ref="D689:E689" si="256">D906</f>
        <v>29213547.520300001</v>
      </c>
      <c r="E689" s="217">
        <f t="shared" si="256"/>
        <v>32134902.272330001</v>
      </c>
    </row>
    <row r="690" spans="1:5" ht="22.05" hidden="1" customHeight="1" outlineLevel="1">
      <c r="A690" s="212" t="s">
        <v>1388</v>
      </c>
      <c r="B690" s="217">
        <v>2659869</v>
      </c>
      <c r="C690" s="217">
        <f>C869</f>
        <v>2659869</v>
      </c>
      <c r="D690" s="217">
        <f>D869</f>
        <v>2925855.9000000004</v>
      </c>
      <c r="E690" s="217">
        <f>E869</f>
        <v>3218441.4900000007</v>
      </c>
    </row>
    <row r="691" spans="1:5" ht="22.05" hidden="1" customHeight="1" outlineLevel="1">
      <c r="A691" s="212" t="s">
        <v>1389</v>
      </c>
      <c r="B691" s="217">
        <v>4808537.4415999996</v>
      </c>
      <c r="C691" s="217">
        <f>C894+C918</f>
        <v>3413354.4416</v>
      </c>
      <c r="D691" s="217">
        <f t="shared" ref="D691:E691" si="257">D894+D918</f>
        <v>3754689.8857600004</v>
      </c>
      <c r="E691" s="217">
        <f t="shared" si="257"/>
        <v>4130158.8743360005</v>
      </c>
    </row>
    <row r="692" spans="1:5" s="201" customFormat="1" ht="22.05" hidden="1" customHeight="1" outlineLevel="1">
      <c r="A692" s="214" t="s">
        <v>558</v>
      </c>
      <c r="B692" s="215">
        <v>1253006834.58441</v>
      </c>
      <c r="C692" s="215">
        <f>SUM(C683:C691)</f>
        <v>1274056389.9406002</v>
      </c>
      <c r="D692" s="215">
        <f>SUM(D683:D691)</f>
        <v>1401462028.9346604</v>
      </c>
      <c r="E692" s="215">
        <f>SUM(E683:E691)</f>
        <v>1541608231.8281267</v>
      </c>
    </row>
    <row r="693" spans="1:5" ht="22.05" hidden="1" customHeight="1" outlineLevel="1">
      <c r="A693" s="212" t="s">
        <v>1390</v>
      </c>
      <c r="B693" s="217">
        <v>1246610254.8</v>
      </c>
      <c r="C693" s="217">
        <f>C932</f>
        <v>1148355593</v>
      </c>
      <c r="D693" s="217">
        <f>D932</f>
        <v>1263191152.3000002</v>
      </c>
      <c r="E693" s="217">
        <f>E932</f>
        <v>1389510267.5300002</v>
      </c>
    </row>
    <row r="694" spans="1:5" ht="22.05" hidden="1" customHeight="1" outlineLevel="1">
      <c r="A694" s="214" t="s">
        <v>1391</v>
      </c>
      <c r="B694" s="215">
        <v>1246610254.8</v>
      </c>
      <c r="C694" s="215">
        <f>C693</f>
        <v>1148355593</v>
      </c>
      <c r="D694" s="215">
        <f>D693</f>
        <v>1263191152.3000002</v>
      </c>
      <c r="E694" s="215">
        <f>E693</f>
        <v>1389510267.5300002</v>
      </c>
    </row>
    <row r="695" spans="1:5" s="201" customFormat="1" ht="22.05" hidden="1" customHeight="1" outlineLevel="1">
      <c r="A695" s="218" t="s">
        <v>1285</v>
      </c>
      <c r="B695" s="215">
        <v>4107075794.9184098</v>
      </c>
      <c r="C695" s="215">
        <f>C694+C692+C682</f>
        <v>4163006397.403172</v>
      </c>
      <c r="D695" s="215">
        <f>D694+D692+D682</f>
        <v>4579307037.1434898</v>
      </c>
      <c r="E695" s="215">
        <f>E694+E692+E682</f>
        <v>5037237740.8578386</v>
      </c>
    </row>
    <row r="696" spans="1:5" ht="22.05" hidden="1" customHeight="1" outlineLevel="1">
      <c r="A696" s="237"/>
      <c r="B696" s="206">
        <v>0</v>
      </c>
      <c r="C696" s="206">
        <f>C708-C695</f>
        <v>0</v>
      </c>
    </row>
    <row r="697" spans="1:5" ht="22.05" hidden="1" customHeight="1" outlineLevel="1">
      <c r="A697" s="237"/>
    </row>
    <row r="698" spans="1:5" ht="22.05" hidden="1" customHeight="1" outlineLevel="1">
      <c r="A698" s="201" t="s">
        <v>1323</v>
      </c>
      <c r="B698" s="208"/>
      <c r="C698" s="208"/>
      <c r="D698" s="208"/>
      <c r="E698" s="208"/>
    </row>
    <row r="699" spans="1:5" ht="22.05" hidden="1" customHeight="1" outlineLevel="1">
      <c r="A699" s="210" t="s">
        <v>1287</v>
      </c>
      <c r="B699" s="822" t="s">
        <v>1257</v>
      </c>
      <c r="C699" s="822" t="s">
        <v>1258</v>
      </c>
      <c r="D699" s="824" t="s">
        <v>1259</v>
      </c>
      <c r="E699" s="825"/>
    </row>
    <row r="700" spans="1:5" s="201" customFormat="1" ht="22.05" hidden="1" customHeight="1" outlineLevel="1">
      <c r="A700" s="211"/>
      <c r="B700" s="823"/>
      <c r="C700" s="823"/>
      <c r="D700" s="788" t="s">
        <v>1260</v>
      </c>
      <c r="E700" s="788" t="s">
        <v>1261</v>
      </c>
    </row>
    <row r="701" spans="1:5" ht="22.05" hidden="1" customHeight="1" outlineLevel="1">
      <c r="A701" s="218" t="s">
        <v>1298</v>
      </c>
      <c r="B701" s="215">
        <v>3847494137.0746002</v>
      </c>
      <c r="C701" s="215">
        <f>SUM(C702:C704)</f>
        <v>3815291856.4031715</v>
      </c>
      <c r="D701" s="215">
        <f>SUM(D702:D704)</f>
        <v>4196821042.0434895</v>
      </c>
      <c r="E701" s="215">
        <f>SUM(E702:E704)</f>
        <v>4616503146.247839</v>
      </c>
    </row>
    <row r="702" spans="1:5" s="201" customFormat="1" ht="22.05" hidden="1" customHeight="1" outlineLevel="1">
      <c r="A702" s="224" t="s">
        <v>1288</v>
      </c>
      <c r="B702" s="217">
        <v>2809325988</v>
      </c>
      <c r="C702" s="217">
        <f>C717+C730+C743+C756+C769+C781+C794+C808+C824+C837+C850+C863+C876+C888+C900+C912+C926</f>
        <v>2990245988</v>
      </c>
      <c r="D702" s="217">
        <f t="shared" ref="D702:E702" si="258">D717+D730+D743+D756+D769+D781+D794+D808+D824+D837+D850+D863+D876+D888+D900+D912+D926</f>
        <v>3289270586.8000007</v>
      </c>
      <c r="E702" s="217">
        <f t="shared" si="258"/>
        <v>3618197645.480001</v>
      </c>
    </row>
    <row r="703" spans="1:5" ht="22.05" hidden="1" customHeight="1" outlineLevel="1">
      <c r="A703" s="224" t="s">
        <v>1289</v>
      </c>
      <c r="B703" s="217">
        <v>916367860.07459998</v>
      </c>
      <c r="C703" s="217">
        <f>C718+C731+C744+C757+C770+C782+C795+C809+C825+C838+C851+C864+C877+C889+C901+C913+C927</f>
        <v>457096209.9746002</v>
      </c>
      <c r="D703" s="217">
        <f t="shared" ref="D703:E703" si="259">D718+D731+D744+D757+D770+D782+D795+D809+D825+D838+D851+D864+D877+D889+D901+D913+D927</f>
        <v>502805830.97206032</v>
      </c>
      <c r="E703" s="217">
        <f t="shared" si="259"/>
        <v>553086414.06926632</v>
      </c>
    </row>
    <row r="704" spans="1:5" ht="22.05" hidden="1" customHeight="1" outlineLevel="1">
      <c r="A704" s="224" t="s">
        <v>1290</v>
      </c>
      <c r="B704" s="217">
        <v>121800289</v>
      </c>
      <c r="C704" s="217">
        <f>C719+C732+C745+C758+C771+C783+C796+C810+C826+C839+C852+C865+C878+C890+C902+C914+C928</f>
        <v>367949658.42857134</v>
      </c>
      <c r="D704" s="217">
        <f t="shared" ref="D704:E704" si="260">D719+D732+D745+D758+D771+D783+D796+D810+D826+D839+D852+D865+D878+D890+D902+D914+D928</f>
        <v>404744624.27142853</v>
      </c>
      <c r="E704" s="217">
        <f t="shared" si="260"/>
        <v>445219086.69857138</v>
      </c>
    </row>
    <row r="705" spans="1:5" ht="22.05" hidden="1" customHeight="1" outlineLevel="1">
      <c r="A705" s="218" t="s">
        <v>1291</v>
      </c>
      <c r="B705" s="215">
        <v>259581657.84381101</v>
      </c>
      <c r="C705" s="215">
        <f>C706+C707</f>
        <v>347714541</v>
      </c>
      <c r="D705" s="215">
        <f t="shared" ref="D705:E705" si="261">D706+D707</f>
        <v>382485995.10000002</v>
      </c>
      <c r="E705" s="215">
        <f t="shared" si="261"/>
        <v>420734594.61000001</v>
      </c>
    </row>
    <row r="706" spans="1:5" ht="22.05" hidden="1" customHeight="1" outlineLevel="1">
      <c r="A706" s="224" t="s">
        <v>1299</v>
      </c>
      <c r="B706" s="217">
        <v>259581657.84381101</v>
      </c>
      <c r="C706" s="217">
        <f>C721+C734+C747+C760+C773+C785+C798+C812+C828+C841+C854+C867+C880+C892+C904+C916+C930</f>
        <v>347714541</v>
      </c>
      <c r="D706" s="217">
        <f t="shared" ref="D706:E706" si="262">D721+D734+D747+D760+D773+D785+D798+D812+D828+D841+D854+D867+D880+D892+D904+D916+D930</f>
        <v>382485995.10000002</v>
      </c>
      <c r="E706" s="217">
        <f t="shared" si="262"/>
        <v>420734594.61000001</v>
      </c>
    </row>
    <row r="707" spans="1:5" ht="22.05" hidden="1" customHeight="1" outlineLevel="1">
      <c r="A707" s="224" t="s">
        <v>1293</v>
      </c>
      <c r="B707" s="217">
        <v>0</v>
      </c>
      <c r="C707" s="217">
        <f>C722+C735+C748+C761+C774+C786+C799+C813+C829+C842+C855+C868+C881+C893+C905+C917+C931</f>
        <v>0</v>
      </c>
      <c r="D707" s="217">
        <f t="shared" ref="D707:E707" si="263">D722+D735+D748+D761+D774+D786+D799+D813+D829+D842+D855+D868+D881+D893+D905+D917+D931</f>
        <v>0</v>
      </c>
      <c r="E707" s="217">
        <f t="shared" si="263"/>
        <v>0</v>
      </c>
    </row>
    <row r="708" spans="1:5" s="201" customFormat="1" ht="22.05" hidden="1" customHeight="1" outlineLevel="1">
      <c r="A708" s="218" t="s">
        <v>1294</v>
      </c>
      <c r="B708" s="215">
        <v>4107075794.9184098</v>
      </c>
      <c r="C708" s="215">
        <f>C701+C705</f>
        <v>4163006397.4031715</v>
      </c>
      <c r="D708" s="215">
        <f t="shared" ref="D708:E708" si="264">D701+D705</f>
        <v>4579307037.1434898</v>
      </c>
      <c r="E708" s="215">
        <f t="shared" si="264"/>
        <v>5037237740.8578386</v>
      </c>
    </row>
    <row r="709" spans="1:5" ht="22.05" hidden="1" customHeight="1" outlineLevel="1">
      <c r="A709" s="237"/>
    </row>
    <row r="710" spans="1:5" s="201" customFormat="1" ht="22.05" hidden="1" customHeight="1" outlineLevel="1">
      <c r="A710" s="237"/>
      <c r="B710" s="208"/>
      <c r="C710" s="208"/>
      <c r="D710" s="208"/>
      <c r="E710" s="208"/>
    </row>
    <row r="711" spans="1:5" ht="22.05" hidden="1" customHeight="1" outlineLevel="1">
      <c r="A711" s="201" t="s">
        <v>1392</v>
      </c>
      <c r="B711" s="208"/>
      <c r="C711" s="208"/>
      <c r="D711" s="208"/>
      <c r="E711" s="208"/>
    </row>
    <row r="712" spans="1:5" ht="22.05" hidden="1" customHeight="1" outlineLevel="1">
      <c r="A712" s="201" t="s">
        <v>1393</v>
      </c>
      <c r="B712" s="208"/>
      <c r="C712" s="208"/>
      <c r="D712" s="208"/>
      <c r="E712" s="208"/>
    </row>
    <row r="713" spans="1:5" s="201" customFormat="1" ht="22.05" hidden="1" customHeight="1" outlineLevel="1">
      <c r="A713" s="201" t="s">
        <v>1394</v>
      </c>
      <c r="B713" s="208"/>
      <c r="C713" s="208"/>
      <c r="D713" s="208"/>
      <c r="E713" s="208"/>
    </row>
    <row r="714" spans="1:5" ht="22.05" hidden="1" customHeight="1" outlineLevel="1">
      <c r="A714" s="210" t="s">
        <v>1287</v>
      </c>
      <c r="B714" s="822" t="s">
        <v>1257</v>
      </c>
      <c r="C714" s="822" t="s">
        <v>1258</v>
      </c>
      <c r="D714" s="824" t="s">
        <v>1259</v>
      </c>
      <c r="E714" s="825"/>
    </row>
    <row r="715" spans="1:5" s="201" customFormat="1" ht="22.05" hidden="1" customHeight="1" outlineLevel="1">
      <c r="A715" s="211"/>
      <c r="B715" s="823"/>
      <c r="C715" s="823"/>
      <c r="D715" s="788" t="s">
        <v>1260</v>
      </c>
      <c r="E715" s="788" t="s">
        <v>1261</v>
      </c>
    </row>
    <row r="716" spans="1:5" ht="22.05" hidden="1" customHeight="1" outlineLevel="1">
      <c r="A716" s="218" t="s">
        <v>1298</v>
      </c>
      <c r="B716" s="215">
        <v>1022979692.03</v>
      </c>
      <c r="C716" s="215">
        <f>SUM(C717:C719)</f>
        <v>1086721254.9300001</v>
      </c>
      <c r="D716" s="215">
        <f>SUM(D717:D719)</f>
        <v>1195393380.4230003</v>
      </c>
      <c r="E716" s="215">
        <f>SUM(E717:E719)</f>
        <v>1314932718.4653003</v>
      </c>
    </row>
    <row r="717" spans="1:5" ht="22.05" hidden="1" customHeight="1" outlineLevel="1">
      <c r="A717" s="224" t="s">
        <v>1288</v>
      </c>
      <c r="B717" s="217">
        <v>974622603</v>
      </c>
      <c r="C717" s="217">
        <f>'Itemized Budget 2026-27'!E1893</f>
        <v>1065922603</v>
      </c>
      <c r="D717" s="217">
        <f>C717*1.1</f>
        <v>1172514863.3000002</v>
      </c>
      <c r="E717" s="217">
        <f>D717*1.1</f>
        <v>1289766349.6300004</v>
      </c>
    </row>
    <row r="718" spans="1:5" ht="22.05" hidden="1" customHeight="1" outlineLevel="1">
      <c r="A718" s="224" t="s">
        <v>1289</v>
      </c>
      <c r="B718" s="217">
        <v>45802089.030000404</v>
      </c>
      <c r="C718" s="217">
        <f>'Itemized Budget 2026-27'!E1937-'Itemized Budget 2026-27'!E1934-'Itemized Budget 2026-27'!E1893</f>
        <v>19893651.930000067</v>
      </c>
      <c r="D718" s="217">
        <f t="shared" ref="D718:E718" si="265">C718*1.1</f>
        <v>21883017.123000074</v>
      </c>
      <c r="E718" s="217">
        <f t="shared" si="265"/>
        <v>24071318.835300084</v>
      </c>
    </row>
    <row r="719" spans="1:5" ht="22.05" hidden="1" customHeight="1" outlineLevel="1">
      <c r="A719" s="224" t="s">
        <v>1290</v>
      </c>
      <c r="B719" s="217">
        <v>2555000</v>
      </c>
      <c r="C719" s="217">
        <f>'Itemized Budget 2026-27'!E1934</f>
        <v>905000</v>
      </c>
      <c r="D719" s="217">
        <f t="shared" ref="D719:E719" si="266">C719*1.1</f>
        <v>995500.00000000012</v>
      </c>
      <c r="E719" s="217">
        <f t="shared" si="266"/>
        <v>1095050.0000000002</v>
      </c>
    </row>
    <row r="720" spans="1:5" ht="22.05" hidden="1" customHeight="1" outlineLevel="1">
      <c r="A720" s="218" t="s">
        <v>1291</v>
      </c>
      <c r="B720" s="215">
        <v>0</v>
      </c>
      <c r="C720" s="215"/>
      <c r="D720" s="215">
        <f t="shared" ref="D720:E720" si="267">SUM(D721:D722)</f>
        <v>0</v>
      </c>
      <c r="E720" s="215">
        <f t="shared" si="267"/>
        <v>0</v>
      </c>
    </row>
    <row r="721" spans="1:5" ht="22.05" hidden="1" customHeight="1" outlineLevel="1">
      <c r="A721" s="224" t="s">
        <v>1299</v>
      </c>
      <c r="B721" s="217"/>
      <c r="C721" s="217"/>
      <c r="D721" s="217">
        <f t="shared" ref="D721:E721" si="268">C721*1.1</f>
        <v>0</v>
      </c>
      <c r="E721" s="217">
        <f t="shared" si="268"/>
        <v>0</v>
      </c>
    </row>
    <row r="722" spans="1:5" ht="22.05" hidden="1" customHeight="1" outlineLevel="1">
      <c r="A722" s="224" t="s">
        <v>1300</v>
      </c>
      <c r="B722" s="217"/>
      <c r="C722" s="217"/>
      <c r="D722" s="217">
        <f t="shared" ref="D722:E722" si="269">C722*1.1</f>
        <v>0</v>
      </c>
      <c r="E722" s="217">
        <f t="shared" si="269"/>
        <v>0</v>
      </c>
    </row>
    <row r="723" spans="1:5" ht="22.05" hidden="1" customHeight="1" outlineLevel="1">
      <c r="A723" s="218" t="s">
        <v>1301</v>
      </c>
      <c r="B723" s="215">
        <v>1022979692.03</v>
      </c>
      <c r="C723" s="215">
        <f>C716+C720</f>
        <v>1086721254.9300001</v>
      </c>
      <c r="D723" s="215">
        <f>D716+D720</f>
        <v>1195393380.4230003</v>
      </c>
      <c r="E723" s="215">
        <f>E716+E720</f>
        <v>1314932718.4653003</v>
      </c>
    </row>
    <row r="724" spans="1:5" ht="22.05" hidden="1" customHeight="1" outlineLevel="1"/>
    <row r="725" spans="1:5" ht="22.05" hidden="1" customHeight="1" outlineLevel="1"/>
    <row r="726" spans="1:5" ht="22.05" hidden="1" customHeight="1" outlineLevel="1">
      <c r="A726" s="201" t="s">
        <v>1395</v>
      </c>
      <c r="B726" s="208"/>
      <c r="C726" s="208"/>
      <c r="D726" s="208"/>
      <c r="E726" s="208"/>
    </row>
    <row r="727" spans="1:5" ht="22.05" hidden="1" customHeight="1" outlineLevel="1">
      <c r="A727" s="210" t="s">
        <v>1287</v>
      </c>
      <c r="B727" s="822" t="s">
        <v>1257</v>
      </c>
      <c r="C727" s="822" t="s">
        <v>1258</v>
      </c>
      <c r="D727" s="824" t="s">
        <v>1259</v>
      </c>
      <c r="E727" s="825"/>
    </row>
    <row r="728" spans="1:5" ht="22.05" hidden="1" customHeight="1" outlineLevel="1">
      <c r="A728" s="211"/>
      <c r="B728" s="823"/>
      <c r="C728" s="823"/>
      <c r="D728" s="788" t="s">
        <v>1260</v>
      </c>
      <c r="E728" s="788" t="s">
        <v>1261</v>
      </c>
    </row>
    <row r="729" spans="1:5" ht="22.05" hidden="1" customHeight="1" outlineLevel="1">
      <c r="A729" s="218" t="s">
        <v>1298</v>
      </c>
      <c r="B729" s="215">
        <v>4500000</v>
      </c>
      <c r="C729" s="215">
        <f>SUM(C730:C731)</f>
        <v>2000000</v>
      </c>
      <c r="D729" s="215">
        <f>SUM(D730:D732)</f>
        <v>2200000</v>
      </c>
      <c r="E729" s="215">
        <f>SUM(E730:E732)</f>
        <v>2420000</v>
      </c>
    </row>
    <row r="730" spans="1:5" ht="22.05" hidden="1" customHeight="1" outlineLevel="1">
      <c r="A730" s="224" t="s">
        <v>1288</v>
      </c>
      <c r="B730" s="217">
        <v>0</v>
      </c>
      <c r="C730" s="217">
        <v>0</v>
      </c>
      <c r="D730" s="217">
        <f t="shared" ref="D730:E730" si="270">C730*1.1</f>
        <v>0</v>
      </c>
      <c r="E730" s="217">
        <f t="shared" si="270"/>
        <v>0</v>
      </c>
    </row>
    <row r="731" spans="1:5" ht="22.05" hidden="1" customHeight="1" outlineLevel="1">
      <c r="A731" s="224" t="s">
        <v>1289</v>
      </c>
      <c r="B731" s="217">
        <v>4500000</v>
      </c>
      <c r="C731" s="217">
        <f>'Itemized Budget 2026-27'!E1946</f>
        <v>2000000</v>
      </c>
      <c r="D731" s="217">
        <f t="shared" ref="D731:E731" si="271">C731*1.1</f>
        <v>2200000</v>
      </c>
      <c r="E731" s="217">
        <f t="shared" si="271"/>
        <v>2420000</v>
      </c>
    </row>
    <row r="732" spans="1:5" ht="22.05" hidden="1" customHeight="1" outlineLevel="1">
      <c r="A732" s="224" t="s">
        <v>1290</v>
      </c>
      <c r="B732" s="217"/>
      <c r="C732" s="233"/>
      <c r="D732" s="217">
        <f t="shared" ref="D732:E732" si="272">C732*1.1</f>
        <v>0</v>
      </c>
      <c r="E732" s="217">
        <f t="shared" si="272"/>
        <v>0</v>
      </c>
    </row>
    <row r="733" spans="1:5" ht="22.05" hidden="1" customHeight="1" outlineLevel="1">
      <c r="A733" s="218" t="s">
        <v>1291</v>
      </c>
      <c r="B733" s="215">
        <v>0</v>
      </c>
      <c r="C733" s="215">
        <f>SUM(C734:C735)</f>
        <v>0</v>
      </c>
      <c r="D733" s="215">
        <f t="shared" ref="D733:E733" si="273">SUM(D734:D735)</f>
        <v>0</v>
      </c>
      <c r="E733" s="215">
        <f t="shared" si="273"/>
        <v>0</v>
      </c>
    </row>
    <row r="734" spans="1:5" ht="22.05" hidden="1" customHeight="1" outlineLevel="1">
      <c r="A734" s="224" t="s">
        <v>1299</v>
      </c>
      <c r="B734" s="217">
        <v>0</v>
      </c>
      <c r="C734" s="217">
        <v>0</v>
      </c>
      <c r="D734" s="217">
        <f t="shared" ref="D734:E734" si="274">C734*1.1</f>
        <v>0</v>
      </c>
      <c r="E734" s="217">
        <f t="shared" si="274"/>
        <v>0</v>
      </c>
    </row>
    <row r="735" spans="1:5" ht="22.05" hidden="1" customHeight="1" outlineLevel="1">
      <c r="A735" s="224" t="s">
        <v>1300</v>
      </c>
      <c r="B735" s="217"/>
      <c r="C735" s="217"/>
      <c r="D735" s="217">
        <f t="shared" ref="D735:E735" si="275">C735*1.1</f>
        <v>0</v>
      </c>
      <c r="E735" s="217">
        <f t="shared" si="275"/>
        <v>0</v>
      </c>
    </row>
    <row r="736" spans="1:5" ht="22.05" hidden="1" customHeight="1" outlineLevel="1">
      <c r="A736" s="218" t="s">
        <v>1301</v>
      </c>
      <c r="B736" s="215">
        <v>4500000</v>
      </c>
      <c r="C736" s="215">
        <f>C729+C733</f>
        <v>2000000</v>
      </c>
      <c r="D736" s="215">
        <f>D729+D733</f>
        <v>2200000</v>
      </c>
      <c r="E736" s="215">
        <f>E729+E733</f>
        <v>2420000</v>
      </c>
    </row>
    <row r="737" spans="1:5" ht="22.05" hidden="1" customHeight="1" outlineLevel="1"/>
    <row r="738" spans="1:5" ht="22.05" hidden="1" customHeight="1" outlineLevel="1"/>
    <row r="739" spans="1:5" ht="22.05" hidden="1" customHeight="1" outlineLevel="1">
      <c r="A739" s="201" t="s">
        <v>1396</v>
      </c>
      <c r="B739" s="208"/>
      <c r="C739" s="208"/>
      <c r="D739" s="208"/>
      <c r="E739" s="208"/>
    </row>
    <row r="740" spans="1:5" ht="22.05" hidden="1" customHeight="1" outlineLevel="1">
      <c r="A740" s="210" t="s">
        <v>1287</v>
      </c>
      <c r="B740" s="822" t="s">
        <v>1257</v>
      </c>
      <c r="C740" s="822" t="s">
        <v>1258</v>
      </c>
      <c r="D740" s="824" t="s">
        <v>1259</v>
      </c>
      <c r="E740" s="825"/>
    </row>
    <row r="741" spans="1:5" ht="22.05" hidden="1" customHeight="1" outlineLevel="1">
      <c r="A741" s="211"/>
      <c r="B741" s="823"/>
      <c r="C741" s="823"/>
      <c r="D741" s="788" t="s">
        <v>1260</v>
      </c>
      <c r="E741" s="788" t="s">
        <v>1261</v>
      </c>
    </row>
    <row r="742" spans="1:5" ht="22.05" hidden="1" customHeight="1" outlineLevel="1">
      <c r="A742" s="218" t="s">
        <v>1298</v>
      </c>
      <c r="B742" s="215">
        <v>129110508.104</v>
      </c>
      <c r="C742" s="215">
        <f>SUM(C743:C745)</f>
        <v>73590308.104000002</v>
      </c>
      <c r="D742" s="215">
        <f>SUM(D743:D745)</f>
        <v>80949338.914400011</v>
      </c>
      <c r="E742" s="215">
        <f>SUM(E743:E745)</f>
        <v>89044272.80584003</v>
      </c>
    </row>
    <row r="743" spans="1:5" ht="22.05" hidden="1" customHeight="1" outlineLevel="1">
      <c r="A743" s="224" t="s">
        <v>1288</v>
      </c>
      <c r="B743" s="217">
        <v>69366078</v>
      </c>
      <c r="C743" s="217">
        <f>'Itemized Budget 2026-27'!E1950</f>
        <v>69366078</v>
      </c>
      <c r="D743" s="217">
        <f t="shared" ref="D743:E743" si="276">C743*1.1</f>
        <v>76302685.800000012</v>
      </c>
      <c r="E743" s="217">
        <f t="shared" si="276"/>
        <v>83932954.380000025</v>
      </c>
    </row>
    <row r="744" spans="1:5" ht="22.05" hidden="1" customHeight="1" outlineLevel="1">
      <c r="A744" s="224" t="s">
        <v>1289</v>
      </c>
      <c r="B744" s="217">
        <v>59744430.104000002</v>
      </c>
      <c r="C744" s="217">
        <f>'Itemized Budget 2026-27'!E1963-'Itemized Budget 2026-27'!E1950</f>
        <v>4224230.1040000021</v>
      </c>
      <c r="D744" s="217">
        <f t="shared" ref="D744:E744" si="277">C744*1.1</f>
        <v>4646653.1144000031</v>
      </c>
      <c r="E744" s="217">
        <f t="shared" si="277"/>
        <v>5111318.4258400034</v>
      </c>
    </row>
    <row r="745" spans="1:5" ht="22.05" hidden="1" customHeight="1" outlineLevel="1">
      <c r="A745" s="224" t="s">
        <v>1290</v>
      </c>
      <c r="B745" s="217"/>
      <c r="C745" s="217"/>
      <c r="D745" s="217">
        <f t="shared" ref="D745:E745" si="278">C745*1.1</f>
        <v>0</v>
      </c>
      <c r="E745" s="217">
        <f t="shared" si="278"/>
        <v>0</v>
      </c>
    </row>
    <row r="746" spans="1:5" ht="22.05" hidden="1" customHeight="1" outlineLevel="1">
      <c r="A746" s="218" t="s">
        <v>1291</v>
      </c>
      <c r="B746" s="215">
        <v>112727338.40000001</v>
      </c>
      <c r="C746" s="215">
        <f>SUM(C747:C748)</f>
        <v>160000000</v>
      </c>
      <c r="D746" s="215">
        <f t="shared" ref="D746:E746" si="279">SUM(D747:D748)</f>
        <v>176000000</v>
      </c>
      <c r="E746" s="215">
        <f t="shared" si="279"/>
        <v>193600000.00000003</v>
      </c>
    </row>
    <row r="747" spans="1:5" ht="22.05" hidden="1" customHeight="1" outlineLevel="1">
      <c r="A747" s="224" t="s">
        <v>1299</v>
      </c>
      <c r="B747" s="217">
        <v>112727338.40000001</v>
      </c>
      <c r="C747" s="217">
        <f>'Itemized Budget 2026-27'!E1969</f>
        <v>160000000</v>
      </c>
      <c r="D747" s="217">
        <f t="shared" ref="D747:E747" si="280">C747*1.1</f>
        <v>176000000</v>
      </c>
      <c r="E747" s="217">
        <f t="shared" si="280"/>
        <v>193600000.00000003</v>
      </c>
    </row>
    <row r="748" spans="1:5" ht="22.05" hidden="1" customHeight="1" outlineLevel="1">
      <c r="A748" s="224" t="s">
        <v>1300</v>
      </c>
      <c r="B748" s="217">
        <v>0</v>
      </c>
      <c r="C748" s="217">
        <v>0</v>
      </c>
      <c r="D748" s="217">
        <f t="shared" ref="D748:E748" si="281">C748*1.1</f>
        <v>0</v>
      </c>
      <c r="E748" s="217">
        <f t="shared" si="281"/>
        <v>0</v>
      </c>
    </row>
    <row r="749" spans="1:5" ht="22.05" hidden="1" customHeight="1" outlineLevel="1">
      <c r="A749" s="218" t="s">
        <v>1301</v>
      </c>
      <c r="B749" s="215">
        <v>241837846.50400001</v>
      </c>
      <c r="C749" s="215">
        <f>C742+C746</f>
        <v>233590308.104</v>
      </c>
      <c r="D749" s="215">
        <f>D742+D746</f>
        <v>256949338.91440001</v>
      </c>
      <c r="E749" s="215">
        <f>E742+E746</f>
        <v>282644272.80584008</v>
      </c>
    </row>
    <row r="750" spans="1:5" ht="22.05" hidden="1" customHeight="1" outlineLevel="1"/>
    <row r="751" spans="1:5" ht="22.05" hidden="1" customHeight="1" outlineLevel="1"/>
    <row r="752" spans="1:5" ht="22.05" hidden="1" customHeight="1" outlineLevel="1">
      <c r="A752" s="201" t="s">
        <v>1379</v>
      </c>
      <c r="B752" s="208"/>
      <c r="C752" s="208"/>
      <c r="D752" s="208"/>
      <c r="E752" s="208"/>
    </row>
    <row r="753" spans="1:5" ht="22.05" hidden="1" customHeight="1" outlineLevel="1">
      <c r="A753" s="210" t="s">
        <v>1287</v>
      </c>
      <c r="B753" s="822" t="s">
        <v>1257</v>
      </c>
      <c r="C753" s="822" t="s">
        <v>1258</v>
      </c>
      <c r="D753" s="824" t="s">
        <v>1259</v>
      </c>
      <c r="E753" s="825"/>
    </row>
    <row r="754" spans="1:5" ht="22.05" hidden="1" customHeight="1" outlineLevel="1">
      <c r="A754" s="211"/>
      <c r="B754" s="823"/>
      <c r="C754" s="823"/>
      <c r="D754" s="788" t="s">
        <v>1260</v>
      </c>
      <c r="E754" s="788" t="s">
        <v>1261</v>
      </c>
    </row>
    <row r="755" spans="1:5" ht="22.05" hidden="1" customHeight="1" outlineLevel="1">
      <c r="A755" s="218" t="s">
        <v>1298</v>
      </c>
      <c r="B755" s="215">
        <v>1870000</v>
      </c>
      <c r="C755" s="215">
        <f>SUM(C756:C758)</f>
        <v>660000</v>
      </c>
      <c r="D755" s="215">
        <f>SUM(D756:D758)</f>
        <v>726000.00000000012</v>
      </c>
      <c r="E755" s="215">
        <f>SUM(E756:E758)</f>
        <v>798600.00000000023</v>
      </c>
    </row>
    <row r="756" spans="1:5" ht="22.05" hidden="1" customHeight="1" outlineLevel="1">
      <c r="A756" s="224" t="s">
        <v>1288</v>
      </c>
      <c r="B756" s="217">
        <v>0</v>
      </c>
      <c r="C756" s="217">
        <v>0</v>
      </c>
      <c r="D756" s="217">
        <f t="shared" ref="D756:E756" si="282">C756*1.1</f>
        <v>0</v>
      </c>
      <c r="E756" s="217">
        <f t="shared" si="282"/>
        <v>0</v>
      </c>
    </row>
    <row r="757" spans="1:5" ht="22.05" hidden="1" customHeight="1" outlineLevel="1">
      <c r="A757" s="224" t="s">
        <v>1289</v>
      </c>
      <c r="B757" s="217">
        <v>1870000</v>
      </c>
      <c r="C757" s="217">
        <f>'Itemized Budget 2026-27'!E1978</f>
        <v>660000</v>
      </c>
      <c r="D757" s="217">
        <f t="shared" ref="D757:E757" si="283">C757*1.1</f>
        <v>726000.00000000012</v>
      </c>
      <c r="E757" s="217">
        <f t="shared" si="283"/>
        <v>798600.00000000023</v>
      </c>
    </row>
    <row r="758" spans="1:5" ht="22.05" hidden="1" customHeight="1" outlineLevel="1">
      <c r="A758" s="224" t="s">
        <v>1290</v>
      </c>
      <c r="B758" s="217"/>
      <c r="C758" s="217"/>
      <c r="D758" s="217">
        <f t="shared" ref="D758:E758" si="284">C758*1.1</f>
        <v>0</v>
      </c>
      <c r="E758" s="217">
        <f t="shared" si="284"/>
        <v>0</v>
      </c>
    </row>
    <row r="759" spans="1:5" ht="22.05" hidden="1" customHeight="1" outlineLevel="1">
      <c r="A759" s="218" t="s">
        <v>1291</v>
      </c>
      <c r="B759" s="215">
        <v>0</v>
      </c>
      <c r="C759" s="215">
        <f>SUM(C760:C761)</f>
        <v>0</v>
      </c>
      <c r="D759" s="215">
        <f t="shared" ref="D759:E759" si="285">SUM(D760:D761)</f>
        <v>0</v>
      </c>
      <c r="E759" s="215">
        <f t="shared" si="285"/>
        <v>0</v>
      </c>
    </row>
    <row r="760" spans="1:5" ht="22.05" hidden="1" customHeight="1" outlineLevel="1">
      <c r="A760" s="224" t="s">
        <v>1299</v>
      </c>
      <c r="B760" s="217"/>
      <c r="C760" s="217"/>
      <c r="D760" s="217">
        <f t="shared" ref="D760:E760" si="286">C760*1.1</f>
        <v>0</v>
      </c>
      <c r="E760" s="217">
        <f t="shared" si="286"/>
        <v>0</v>
      </c>
    </row>
    <row r="761" spans="1:5" ht="22.05" hidden="1" customHeight="1" outlineLevel="1">
      <c r="A761" s="224" t="s">
        <v>1300</v>
      </c>
      <c r="B761" s="217"/>
      <c r="C761" s="217"/>
      <c r="D761" s="217">
        <f t="shared" ref="D761:E761" si="287">C761*1.1</f>
        <v>0</v>
      </c>
      <c r="E761" s="217">
        <f t="shared" si="287"/>
        <v>0</v>
      </c>
    </row>
    <row r="762" spans="1:5" ht="22.05" hidden="1" customHeight="1" outlineLevel="1">
      <c r="A762" s="218" t="s">
        <v>1301</v>
      </c>
      <c r="B762" s="215">
        <v>1870000</v>
      </c>
      <c r="C762" s="215">
        <f>C755+C759</f>
        <v>660000</v>
      </c>
      <c r="D762" s="215">
        <f>D755+D759</f>
        <v>726000.00000000012</v>
      </c>
      <c r="E762" s="215">
        <f>E755+E759</f>
        <v>798600.00000000023</v>
      </c>
    </row>
    <row r="763" spans="1:5" ht="22.05" hidden="1" customHeight="1" outlineLevel="1"/>
    <row r="764" spans="1:5" ht="22.05" hidden="1" customHeight="1" outlineLevel="1">
      <c r="A764" s="201"/>
      <c r="B764" s="208"/>
      <c r="C764" s="208"/>
      <c r="D764" s="208"/>
      <c r="E764" s="208"/>
    </row>
    <row r="765" spans="1:5" ht="22.05" hidden="1" customHeight="1" outlineLevel="1">
      <c r="A765" s="256" t="s">
        <v>1389</v>
      </c>
      <c r="B765" s="250"/>
      <c r="C765" s="250"/>
      <c r="D765" s="236"/>
      <c r="E765" s="236"/>
    </row>
    <row r="766" spans="1:5" ht="22.05" hidden="1" customHeight="1" outlineLevel="1">
      <c r="A766" s="210" t="s">
        <v>1287</v>
      </c>
      <c r="B766" s="822" t="s">
        <v>1257</v>
      </c>
      <c r="C766" s="822" t="s">
        <v>1258</v>
      </c>
      <c r="D766" s="824" t="s">
        <v>1259</v>
      </c>
      <c r="E766" s="825"/>
    </row>
    <row r="767" spans="1:5" ht="22.05" hidden="1" customHeight="1" outlineLevel="1">
      <c r="A767" s="211"/>
      <c r="B767" s="823"/>
      <c r="C767" s="823"/>
      <c r="D767" s="788" t="s">
        <v>1260</v>
      </c>
      <c r="E767" s="788" t="s">
        <v>1261</v>
      </c>
    </row>
    <row r="768" spans="1:5" ht="22.05" hidden="1" customHeight="1" outlineLevel="1">
      <c r="A768" s="218" t="s">
        <v>1298</v>
      </c>
      <c r="B768" s="215">
        <v>0</v>
      </c>
      <c r="C768" s="215">
        <f>SUM(C769:C771)</f>
        <v>0</v>
      </c>
      <c r="D768" s="215">
        <f>SUM(D769:D771)</f>
        <v>0</v>
      </c>
      <c r="E768" s="215">
        <f>SUM(E769:E771)</f>
        <v>0</v>
      </c>
    </row>
    <row r="769" spans="1:5" ht="22.05" hidden="1" customHeight="1" outlineLevel="1">
      <c r="A769" s="224" t="s">
        <v>1288</v>
      </c>
      <c r="B769" s="217"/>
      <c r="C769" s="217"/>
      <c r="D769" s="217">
        <f t="shared" ref="D769:E769" si="288">C769*1.1</f>
        <v>0</v>
      </c>
      <c r="E769" s="217">
        <f t="shared" si="288"/>
        <v>0</v>
      </c>
    </row>
    <row r="770" spans="1:5" ht="22.05" hidden="1" customHeight="1" outlineLevel="1">
      <c r="A770" s="224" t="s">
        <v>1289</v>
      </c>
      <c r="B770" s="217"/>
      <c r="C770" s="217"/>
      <c r="D770" s="217">
        <f t="shared" ref="D770:E770" si="289">C770*1.1</f>
        <v>0</v>
      </c>
      <c r="E770" s="217">
        <f t="shared" si="289"/>
        <v>0</v>
      </c>
    </row>
    <row r="771" spans="1:5" ht="22.05" hidden="1" customHeight="1" outlineLevel="1">
      <c r="A771" s="224" t="s">
        <v>1290</v>
      </c>
      <c r="B771" s="217"/>
      <c r="C771" s="217"/>
      <c r="D771" s="217">
        <f t="shared" ref="D771:E771" si="290">C771*1.1</f>
        <v>0</v>
      </c>
      <c r="E771" s="217">
        <f t="shared" si="290"/>
        <v>0</v>
      </c>
    </row>
    <row r="772" spans="1:5" ht="22.05" hidden="1" customHeight="1" outlineLevel="1">
      <c r="A772" s="218" t="s">
        <v>1291</v>
      </c>
      <c r="B772" s="215">
        <v>0</v>
      </c>
      <c r="C772" s="215">
        <f>SUM(C773:C774)</f>
        <v>0</v>
      </c>
      <c r="D772" s="215">
        <f t="shared" ref="D772:E772" si="291">SUM(D773:D774)</f>
        <v>0</v>
      </c>
      <c r="E772" s="215">
        <f t="shared" si="291"/>
        <v>0</v>
      </c>
    </row>
    <row r="773" spans="1:5" ht="22.05" hidden="1" customHeight="1" outlineLevel="1">
      <c r="A773" s="224" t="s">
        <v>1299</v>
      </c>
      <c r="B773" s="217">
        <v>0</v>
      </c>
      <c r="C773" s="217">
        <v>0</v>
      </c>
      <c r="D773" s="217">
        <f t="shared" ref="D773:E773" si="292">C773*1.1</f>
        <v>0</v>
      </c>
      <c r="E773" s="217">
        <f t="shared" si="292"/>
        <v>0</v>
      </c>
    </row>
    <row r="774" spans="1:5" ht="22.05" hidden="1" customHeight="1" outlineLevel="1">
      <c r="A774" s="224" t="s">
        <v>1300</v>
      </c>
      <c r="B774" s="217">
        <v>0</v>
      </c>
      <c r="C774" s="217">
        <v>0</v>
      </c>
      <c r="D774" s="217">
        <f t="shared" ref="D774:E774" si="293">C774*1.1</f>
        <v>0</v>
      </c>
      <c r="E774" s="217">
        <f t="shared" si="293"/>
        <v>0</v>
      </c>
    </row>
    <row r="775" spans="1:5" ht="22.05" hidden="1" customHeight="1" outlineLevel="1">
      <c r="A775" s="218" t="s">
        <v>1301</v>
      </c>
      <c r="B775" s="215">
        <v>0</v>
      </c>
      <c r="C775" s="215">
        <f>SUM(C768+C772)</f>
        <v>0</v>
      </c>
      <c r="D775" s="215">
        <f>SUM(D768+D772)</f>
        <v>0</v>
      </c>
      <c r="E775" s="215">
        <f>SUM(E768+E772)</f>
        <v>0</v>
      </c>
    </row>
    <row r="776" spans="1:5" ht="22.05" hidden="1" customHeight="1" outlineLevel="1">
      <c r="A776" s="201"/>
      <c r="B776" s="208"/>
      <c r="C776" s="208"/>
      <c r="D776" s="208"/>
      <c r="E776" s="208"/>
    </row>
    <row r="777" spans="1:5" ht="22.05" hidden="1" customHeight="1" outlineLevel="1">
      <c r="A777" s="256" t="s">
        <v>1397</v>
      </c>
      <c r="B777" s="250"/>
      <c r="C777" s="250"/>
      <c r="D777" s="236"/>
      <c r="E777" s="236"/>
    </row>
    <row r="778" spans="1:5" ht="22.05" hidden="1" customHeight="1" outlineLevel="1">
      <c r="A778" s="210" t="s">
        <v>1287</v>
      </c>
      <c r="B778" s="822" t="s">
        <v>1257</v>
      </c>
      <c r="C778" s="822" t="s">
        <v>1258</v>
      </c>
      <c r="D778" s="824" t="s">
        <v>1259</v>
      </c>
      <c r="E778" s="825"/>
    </row>
    <row r="779" spans="1:5" ht="22.05" hidden="1" customHeight="1" outlineLevel="1">
      <c r="A779" s="211"/>
      <c r="B779" s="823"/>
      <c r="C779" s="823"/>
      <c r="D779" s="788" t="s">
        <v>1260</v>
      </c>
      <c r="E779" s="788" t="s">
        <v>1261</v>
      </c>
    </row>
    <row r="780" spans="1:5" ht="22.05" hidden="1" customHeight="1" outlineLevel="1">
      <c r="A780" s="218" t="s">
        <v>1298</v>
      </c>
      <c r="B780" s="215">
        <v>325911135</v>
      </c>
      <c r="C780" s="215">
        <f>SUM(C781:C783)</f>
        <v>348128407.42857134</v>
      </c>
      <c r="D780" s="215">
        <f>SUM(D781:D783)</f>
        <v>382941248.1714285</v>
      </c>
      <c r="E780" s="215">
        <f>SUM(E781:E783)</f>
        <v>421235372.98857141</v>
      </c>
    </row>
    <row r="781" spans="1:5" ht="22.05" hidden="1" customHeight="1" outlineLevel="1">
      <c r="A781" s="224" t="s">
        <v>1288</v>
      </c>
      <c r="B781" s="217"/>
      <c r="C781" s="217"/>
      <c r="D781" s="217">
        <f t="shared" ref="D781:E781" si="294">C781*1.1</f>
        <v>0</v>
      </c>
      <c r="E781" s="217">
        <f t="shared" si="294"/>
        <v>0</v>
      </c>
    </row>
    <row r="782" spans="1:5" ht="22.05" hidden="1" customHeight="1" outlineLevel="1">
      <c r="A782" s="224" t="s">
        <v>1289</v>
      </c>
      <c r="B782" s="217">
        <v>300000000</v>
      </c>
      <c r="C782" s="217"/>
      <c r="D782" s="217">
        <f t="shared" ref="D782:E782" si="295">C782*1.1</f>
        <v>0</v>
      </c>
      <c r="E782" s="217">
        <f t="shared" si="295"/>
        <v>0</v>
      </c>
    </row>
    <row r="783" spans="1:5" ht="22.05" hidden="1" customHeight="1" outlineLevel="1">
      <c r="A783" s="224" t="s">
        <v>1290</v>
      </c>
      <c r="B783" s="217">
        <v>25911135</v>
      </c>
      <c r="C783" s="217">
        <f>'Itemized Budget 2026-27'!E1983+'Itemized Budget 2026-27'!E2004</f>
        <v>348128407.42857134</v>
      </c>
      <c r="D783" s="217">
        <f t="shared" ref="D783:E783" si="296">C783*1.1</f>
        <v>382941248.1714285</v>
      </c>
      <c r="E783" s="217">
        <f t="shared" si="296"/>
        <v>421235372.98857141</v>
      </c>
    </row>
    <row r="784" spans="1:5" ht="22.05" hidden="1" customHeight="1" outlineLevel="1">
      <c r="A784" s="218" t="s">
        <v>1291</v>
      </c>
      <c r="B784" s="215">
        <v>10360032</v>
      </c>
      <c r="C784" s="215">
        <f>SUM(C785:C786)</f>
        <v>69494444</v>
      </c>
      <c r="D784" s="215">
        <f t="shared" ref="D784:E784" si="297">SUM(D785:D786)</f>
        <v>76443888.400000006</v>
      </c>
      <c r="E784" s="215">
        <f t="shared" si="297"/>
        <v>84088277.24000001</v>
      </c>
    </row>
    <row r="785" spans="1:5" ht="22.05" hidden="1" customHeight="1" outlineLevel="1">
      <c r="A785" s="224" t="s">
        <v>1299</v>
      </c>
      <c r="B785" s="217">
        <v>10360032</v>
      </c>
      <c r="C785" s="217">
        <f>'Itemized Budget 2026-27'!E2009</f>
        <v>69494444</v>
      </c>
      <c r="D785" s="217">
        <f t="shared" ref="D785:E785" si="298">C785*1.1</f>
        <v>76443888.400000006</v>
      </c>
      <c r="E785" s="217">
        <f t="shared" si="298"/>
        <v>84088277.24000001</v>
      </c>
    </row>
    <row r="786" spans="1:5" ht="22.05" hidden="1" customHeight="1" outlineLevel="1">
      <c r="A786" s="224" t="s">
        <v>1300</v>
      </c>
      <c r="B786" s="217">
        <v>0</v>
      </c>
      <c r="C786" s="217">
        <f>0</f>
        <v>0</v>
      </c>
      <c r="D786" s="217">
        <f t="shared" ref="D786:E786" si="299">C786*1.1</f>
        <v>0</v>
      </c>
      <c r="E786" s="217">
        <f t="shared" si="299"/>
        <v>0</v>
      </c>
    </row>
    <row r="787" spans="1:5" ht="22.05" hidden="1" customHeight="1" outlineLevel="1">
      <c r="A787" s="218" t="s">
        <v>1301</v>
      </c>
      <c r="B787" s="215">
        <v>336271167</v>
      </c>
      <c r="C787" s="215">
        <f>SUM(C780+C784)</f>
        <v>417622851.42857134</v>
      </c>
      <c r="D787" s="215">
        <f>SUM(D780+D784)</f>
        <v>459385136.57142854</v>
      </c>
      <c r="E787" s="215">
        <f>SUM(E780+E784)</f>
        <v>505323650.22857141</v>
      </c>
    </row>
    <row r="788" spans="1:5" ht="22.05" hidden="1" customHeight="1" outlineLevel="1">
      <c r="A788" s="201"/>
      <c r="B788" s="208"/>
      <c r="C788" s="208"/>
      <c r="D788" s="208"/>
      <c r="E788" s="208"/>
    </row>
    <row r="789" spans="1:5" ht="22.05" hidden="1" customHeight="1" outlineLevel="1">
      <c r="A789" s="201" t="s">
        <v>1398</v>
      </c>
      <c r="B789" s="208"/>
      <c r="C789" s="208"/>
      <c r="D789" s="208"/>
      <c r="E789" s="208"/>
    </row>
    <row r="790" spans="1:5" ht="22.05" hidden="1" customHeight="1" outlineLevel="1">
      <c r="A790" s="201" t="s">
        <v>1381</v>
      </c>
      <c r="B790" s="208"/>
      <c r="C790" s="208"/>
      <c r="D790" s="208"/>
      <c r="E790" s="208"/>
    </row>
    <row r="791" spans="1:5" ht="22.05" hidden="1" customHeight="1" outlineLevel="1">
      <c r="A791" s="210" t="s">
        <v>1287</v>
      </c>
      <c r="B791" s="822" t="s">
        <v>1257</v>
      </c>
      <c r="C791" s="822" t="s">
        <v>1258</v>
      </c>
      <c r="D791" s="824" t="s">
        <v>1259</v>
      </c>
      <c r="E791" s="825"/>
    </row>
    <row r="792" spans="1:5" ht="22.05" hidden="1" customHeight="1" outlineLevel="1">
      <c r="A792" s="211"/>
      <c r="B792" s="823"/>
      <c r="C792" s="823"/>
      <c r="D792" s="788" t="s">
        <v>1260</v>
      </c>
      <c r="E792" s="788" t="s">
        <v>1261</v>
      </c>
    </row>
    <row r="793" spans="1:5" ht="22.05" hidden="1" customHeight="1" outlineLevel="1">
      <c r="A793" s="218" t="s">
        <v>1298</v>
      </c>
      <c r="B793" s="215">
        <v>0</v>
      </c>
      <c r="C793" s="215">
        <f>SUM(C794:C796)</f>
        <v>0</v>
      </c>
      <c r="D793" s="215">
        <f>SUM(D794:D796)</f>
        <v>0</v>
      </c>
      <c r="E793" s="215">
        <f>SUM(E794:E796)</f>
        <v>0</v>
      </c>
    </row>
    <row r="794" spans="1:5" ht="22.05" hidden="1" customHeight="1" outlineLevel="1">
      <c r="A794" s="224" t="s">
        <v>1288</v>
      </c>
      <c r="B794" s="217"/>
      <c r="C794" s="217"/>
      <c r="D794" s="217">
        <f t="shared" ref="D794:E794" si="300">C794*1.1</f>
        <v>0</v>
      </c>
      <c r="E794" s="217">
        <f t="shared" si="300"/>
        <v>0</v>
      </c>
    </row>
    <row r="795" spans="1:5" ht="22.05" hidden="1" customHeight="1" outlineLevel="1">
      <c r="A795" s="224" t="s">
        <v>1289</v>
      </c>
      <c r="B795" s="217"/>
      <c r="C795" s="217"/>
      <c r="D795" s="217">
        <f t="shared" ref="D795:E795" si="301">C795*1.1</f>
        <v>0</v>
      </c>
      <c r="E795" s="217">
        <f t="shared" si="301"/>
        <v>0</v>
      </c>
    </row>
    <row r="796" spans="1:5" ht="22.05" hidden="1" customHeight="1" outlineLevel="1">
      <c r="A796" s="224" t="s">
        <v>1290</v>
      </c>
      <c r="B796" s="217"/>
      <c r="C796" s="217"/>
      <c r="D796" s="217">
        <f t="shared" ref="D796:E796" si="302">C796*1.1</f>
        <v>0</v>
      </c>
      <c r="E796" s="217">
        <f t="shared" si="302"/>
        <v>0</v>
      </c>
    </row>
    <row r="797" spans="1:5" ht="22.05" hidden="1" customHeight="1" outlineLevel="1">
      <c r="A797" s="218" t="s">
        <v>1291</v>
      </c>
      <c r="B797" s="215">
        <v>0</v>
      </c>
      <c r="C797" s="215">
        <f>SUM(C798:C799)</f>
        <v>0</v>
      </c>
      <c r="D797" s="215">
        <f t="shared" ref="D797:E797" si="303">SUM(D798:D799)</f>
        <v>0</v>
      </c>
      <c r="E797" s="215">
        <f t="shared" si="303"/>
        <v>0</v>
      </c>
    </row>
    <row r="798" spans="1:5" ht="22.05" hidden="1" customHeight="1" outlineLevel="1">
      <c r="A798" s="224" t="s">
        <v>1299</v>
      </c>
      <c r="B798" s="217"/>
      <c r="C798" s="217"/>
      <c r="D798" s="217">
        <f t="shared" ref="D798:E798" si="304">C798*1.1</f>
        <v>0</v>
      </c>
      <c r="E798" s="217">
        <f t="shared" si="304"/>
        <v>0</v>
      </c>
    </row>
    <row r="799" spans="1:5" ht="22.05" hidden="1" customHeight="1" outlineLevel="1">
      <c r="A799" s="224" t="s">
        <v>1300</v>
      </c>
      <c r="B799" s="217">
        <v>0</v>
      </c>
      <c r="C799" s="217">
        <v>0</v>
      </c>
      <c r="D799" s="217">
        <f t="shared" ref="D799:E799" si="305">C799*1.1</f>
        <v>0</v>
      </c>
      <c r="E799" s="217">
        <f t="shared" si="305"/>
        <v>0</v>
      </c>
    </row>
    <row r="800" spans="1:5" ht="22.05" hidden="1" customHeight="1" outlineLevel="1">
      <c r="A800" s="218" t="s">
        <v>1301</v>
      </c>
      <c r="B800" s="215">
        <v>0</v>
      </c>
      <c r="C800" s="215">
        <f>C793+C797</f>
        <v>0</v>
      </c>
      <c r="D800" s="215">
        <f>D793+D797</f>
        <v>0</v>
      </c>
      <c r="E800" s="215">
        <f>E793+E797</f>
        <v>0</v>
      </c>
    </row>
    <row r="801" spans="1:5" ht="22.05" hidden="1" customHeight="1" outlineLevel="1"/>
    <row r="802" spans="1:5" ht="22.05" hidden="1" customHeight="1" outlineLevel="1"/>
    <row r="803" spans="1:5" ht="22.05" hidden="1" customHeight="1" outlineLevel="1"/>
    <row r="804" spans="1:5" ht="22.05" hidden="1" customHeight="1" outlineLevel="1">
      <c r="A804" s="201" t="s">
        <v>1399</v>
      </c>
      <c r="B804" s="208"/>
      <c r="C804" s="208"/>
      <c r="D804" s="208"/>
      <c r="E804" s="208"/>
    </row>
    <row r="805" spans="1:5" ht="22.05" hidden="1" customHeight="1" outlineLevel="1">
      <c r="A805" s="210" t="s">
        <v>1287</v>
      </c>
      <c r="B805" s="822" t="s">
        <v>1257</v>
      </c>
      <c r="C805" s="822" t="s">
        <v>1258</v>
      </c>
      <c r="D805" s="824" t="s">
        <v>1259</v>
      </c>
      <c r="E805" s="825"/>
    </row>
    <row r="806" spans="1:5" ht="22.05" hidden="1" customHeight="1" outlineLevel="1">
      <c r="A806" s="211"/>
      <c r="B806" s="823"/>
      <c r="C806" s="823"/>
      <c r="D806" s="788" t="s">
        <v>1260</v>
      </c>
      <c r="E806" s="788" t="s">
        <v>1261</v>
      </c>
    </row>
    <row r="807" spans="1:5" ht="22.05" hidden="1" customHeight="1" outlineLevel="1">
      <c r="A807" s="218" t="s">
        <v>1298</v>
      </c>
      <c r="B807" s="215">
        <v>0</v>
      </c>
      <c r="C807" s="215">
        <f>SUM(C808:C810)</f>
        <v>0</v>
      </c>
      <c r="D807" s="215">
        <f>SUM(D808:D810)</f>
        <v>0</v>
      </c>
      <c r="E807" s="215">
        <f>SUM(E808:E810)</f>
        <v>0</v>
      </c>
    </row>
    <row r="808" spans="1:5" ht="22.05" hidden="1" customHeight="1" outlineLevel="1">
      <c r="A808" s="224" t="s">
        <v>1288</v>
      </c>
      <c r="B808" s="217"/>
      <c r="C808" s="217"/>
      <c r="D808" s="217">
        <f t="shared" ref="D808:E808" si="306">C808*1.1</f>
        <v>0</v>
      </c>
      <c r="E808" s="217">
        <f t="shared" si="306"/>
        <v>0</v>
      </c>
    </row>
    <row r="809" spans="1:5" ht="22.05" hidden="1" customHeight="1" outlineLevel="1">
      <c r="A809" s="224" t="s">
        <v>1289</v>
      </c>
      <c r="B809" s="217"/>
      <c r="C809" s="217"/>
      <c r="D809" s="217">
        <f t="shared" ref="D809:E809" si="307">C809*1.1</f>
        <v>0</v>
      </c>
      <c r="E809" s="217">
        <f t="shared" si="307"/>
        <v>0</v>
      </c>
    </row>
    <row r="810" spans="1:5" ht="22.05" hidden="1" customHeight="1" outlineLevel="1">
      <c r="A810" s="224" t="s">
        <v>1290</v>
      </c>
      <c r="B810" s="217"/>
      <c r="C810" s="217"/>
      <c r="D810" s="217">
        <f t="shared" ref="D810:E810" si="308">C810*1.1</f>
        <v>0</v>
      </c>
      <c r="E810" s="217">
        <f t="shared" si="308"/>
        <v>0</v>
      </c>
    </row>
    <row r="811" spans="1:5" ht="22.05" hidden="1" customHeight="1" outlineLevel="1">
      <c r="A811" s="218" t="s">
        <v>1291</v>
      </c>
      <c r="B811" s="215">
        <v>0</v>
      </c>
      <c r="C811" s="215">
        <f>SUM(C812:C813)</f>
        <v>0</v>
      </c>
      <c r="D811" s="215">
        <f t="shared" ref="D811:E811" si="309">SUM(D812:D813)</f>
        <v>0</v>
      </c>
      <c r="E811" s="215">
        <f t="shared" si="309"/>
        <v>0</v>
      </c>
    </row>
    <row r="812" spans="1:5" ht="22.05" hidden="1" customHeight="1" outlineLevel="1">
      <c r="A812" s="224" t="s">
        <v>1299</v>
      </c>
      <c r="B812" s="217"/>
      <c r="C812" s="217"/>
      <c r="D812" s="217">
        <f t="shared" ref="D812:E812" si="310">C812*1.1</f>
        <v>0</v>
      </c>
      <c r="E812" s="217">
        <f t="shared" si="310"/>
        <v>0</v>
      </c>
    </row>
    <row r="813" spans="1:5" ht="22.05" hidden="1" customHeight="1" outlineLevel="1">
      <c r="A813" s="224" t="s">
        <v>1300</v>
      </c>
      <c r="B813" s="217"/>
      <c r="C813" s="217"/>
      <c r="D813" s="217">
        <f t="shared" ref="D813:E813" si="311">C813*1.1</f>
        <v>0</v>
      </c>
      <c r="E813" s="217">
        <f t="shared" si="311"/>
        <v>0</v>
      </c>
    </row>
    <row r="814" spans="1:5" ht="22.05" hidden="1" customHeight="1" outlineLevel="1">
      <c r="A814" s="218" t="s">
        <v>1301</v>
      </c>
      <c r="B814" s="215">
        <v>0</v>
      </c>
      <c r="C814" s="215">
        <f>C807+C811</f>
        <v>0</v>
      </c>
      <c r="D814" s="215">
        <f>D807+D811</f>
        <v>0</v>
      </c>
      <c r="E814" s="215">
        <f>E807+E811</f>
        <v>0</v>
      </c>
    </row>
    <row r="815" spans="1:5" ht="22.05" hidden="1" customHeight="1" outlineLevel="1"/>
    <row r="816" spans="1:5" ht="22.05" hidden="1" customHeight="1" outlineLevel="1"/>
    <row r="817" spans="1:5" ht="22.05" hidden="1" customHeight="1" outlineLevel="1">
      <c r="A817" s="201"/>
      <c r="B817" s="208"/>
      <c r="C817" s="208"/>
      <c r="D817" s="208"/>
      <c r="E817" s="208"/>
    </row>
    <row r="818" spans="1:5" ht="22.05" hidden="1" customHeight="1" outlineLevel="1"/>
    <row r="819" spans="1:5" ht="22.05" hidden="1" customHeight="1" outlineLevel="1">
      <c r="A819" s="201" t="s">
        <v>1400</v>
      </c>
      <c r="B819" s="208"/>
      <c r="C819" s="208"/>
      <c r="D819" s="208"/>
      <c r="E819" s="208"/>
    </row>
    <row r="820" spans="1:5" ht="22.05" hidden="1" customHeight="1" outlineLevel="1">
      <c r="A820" s="201" t="s">
        <v>1401</v>
      </c>
      <c r="B820" s="208"/>
      <c r="C820" s="208"/>
      <c r="D820" s="208"/>
      <c r="E820" s="208"/>
    </row>
    <row r="821" spans="1:5" ht="22.05" hidden="1" customHeight="1" outlineLevel="1">
      <c r="A821" s="210" t="s">
        <v>1287</v>
      </c>
      <c r="B821" s="822" t="s">
        <v>1257</v>
      </c>
      <c r="C821" s="822" t="s">
        <v>1258</v>
      </c>
      <c r="D821" s="824" t="s">
        <v>1259</v>
      </c>
      <c r="E821" s="825"/>
    </row>
    <row r="822" spans="1:5" ht="22.05" hidden="1" customHeight="1" outlineLevel="1">
      <c r="A822" s="211"/>
      <c r="B822" s="823"/>
      <c r="C822" s="823"/>
      <c r="D822" s="788" t="s">
        <v>1260</v>
      </c>
      <c r="E822" s="788" t="s">
        <v>1261</v>
      </c>
    </row>
    <row r="823" spans="1:5" ht="22.05" hidden="1" customHeight="1" outlineLevel="1">
      <c r="A823" s="218" t="s">
        <v>1298</v>
      </c>
      <c r="B823" s="215">
        <v>1124629528.0840001</v>
      </c>
      <c r="C823" s="215">
        <f>SUM(C824:C826)</f>
        <v>1144497283.0840001</v>
      </c>
      <c r="D823" s="215">
        <f>SUM(D824:D826)</f>
        <v>1258947011.3924003</v>
      </c>
      <c r="E823" s="215">
        <f>SUM(E824:E826)</f>
        <v>1384841712.5316405</v>
      </c>
    </row>
    <row r="824" spans="1:5" ht="22.05" hidden="1" customHeight="1" outlineLevel="1">
      <c r="A824" s="224" t="s">
        <v>1288</v>
      </c>
      <c r="B824" s="217">
        <v>958124163</v>
      </c>
      <c r="C824" s="217">
        <f>'Itemized Budget 2026-27'!E2018</f>
        <v>1046544163</v>
      </c>
      <c r="D824" s="217">
        <f t="shared" ref="D824:E824" si="312">C824*1.1</f>
        <v>1151198579.3000002</v>
      </c>
      <c r="E824" s="217">
        <f t="shared" si="312"/>
        <v>1266318437.2300003</v>
      </c>
    </row>
    <row r="825" spans="1:5" ht="22.05" hidden="1" customHeight="1" outlineLevel="1">
      <c r="A825" s="224" t="s">
        <v>1289</v>
      </c>
      <c r="B825" s="217">
        <v>98653120.084000096</v>
      </c>
      <c r="C825" s="217">
        <f>'Itemized Budget 2026-27'!E2055-'Itemized Budget 2026-27'!E2052-'Itemized Budget 2026-27'!E2018</f>
        <v>97153120.084000111</v>
      </c>
      <c r="D825" s="217">
        <f t="shared" ref="D825:E825" si="313">C825*1.1</f>
        <v>106868432.09240013</v>
      </c>
      <c r="E825" s="217">
        <f t="shared" si="313"/>
        <v>117555275.30164015</v>
      </c>
    </row>
    <row r="826" spans="1:5" ht="22.05" hidden="1" customHeight="1" outlineLevel="1">
      <c r="A826" s="224" t="s">
        <v>1290</v>
      </c>
      <c r="B826" s="217">
        <v>67852245</v>
      </c>
      <c r="C826" s="217">
        <f>'Itemized Budget 2026-27'!E2052</f>
        <v>800000</v>
      </c>
      <c r="D826" s="217">
        <f t="shared" ref="D826:E826" si="314">C826*1.1</f>
        <v>880000.00000000012</v>
      </c>
      <c r="E826" s="217">
        <f t="shared" si="314"/>
        <v>968000.00000000023</v>
      </c>
    </row>
    <row r="827" spans="1:5" ht="22.05" hidden="1" customHeight="1" outlineLevel="1">
      <c r="A827" s="218" t="s">
        <v>1291</v>
      </c>
      <c r="B827" s="215">
        <v>76652803.643810302</v>
      </c>
      <c r="C827" s="215">
        <f>SUM(C828:C829)</f>
        <v>93100000</v>
      </c>
      <c r="D827" s="215">
        <f t="shared" ref="D827:E827" si="315">SUM(D828:D829)</f>
        <v>102410000.00000001</v>
      </c>
      <c r="E827" s="215">
        <f t="shared" si="315"/>
        <v>112651000.00000003</v>
      </c>
    </row>
    <row r="828" spans="1:5" ht="22.05" hidden="1" customHeight="1" outlineLevel="1">
      <c r="A828" s="224" t="s">
        <v>1299</v>
      </c>
      <c r="B828" s="217">
        <v>76652803.643810302</v>
      </c>
      <c r="C828" s="217">
        <f>'Itemized Budget 2026-27'!E2064</f>
        <v>93100000</v>
      </c>
      <c r="D828" s="217">
        <f t="shared" ref="D828:E828" si="316">C828*1.1</f>
        <v>102410000.00000001</v>
      </c>
      <c r="E828" s="217">
        <f t="shared" si="316"/>
        <v>112651000.00000003</v>
      </c>
    </row>
    <row r="829" spans="1:5" ht="22.05" hidden="1" customHeight="1" outlineLevel="1">
      <c r="A829" s="224" t="s">
        <v>1300</v>
      </c>
      <c r="B829" s="217">
        <v>0</v>
      </c>
      <c r="C829" s="217">
        <v>0</v>
      </c>
      <c r="D829" s="217">
        <f t="shared" ref="D829:E829" si="317">C829*1.1</f>
        <v>0</v>
      </c>
      <c r="E829" s="217">
        <f t="shared" si="317"/>
        <v>0</v>
      </c>
    </row>
    <row r="830" spans="1:5" ht="22.05" hidden="1" customHeight="1" outlineLevel="1">
      <c r="A830" s="218" t="s">
        <v>1301</v>
      </c>
      <c r="B830" s="215">
        <v>1201282331.7278099</v>
      </c>
      <c r="C830" s="215">
        <f>C823+C827</f>
        <v>1237597283.0840001</v>
      </c>
      <c r="D830" s="215">
        <f>D823+D827</f>
        <v>1361357011.3924003</v>
      </c>
      <c r="E830" s="215">
        <f>E823+E827</f>
        <v>1497492712.5316405</v>
      </c>
    </row>
    <row r="831" spans="1:5" ht="22.05" hidden="1" customHeight="1" outlineLevel="1"/>
    <row r="832" spans="1:5" ht="22.05" hidden="1" customHeight="1" outlineLevel="1"/>
    <row r="833" spans="1:5" ht="22.05" hidden="1" customHeight="1" outlineLevel="1">
      <c r="A833" s="201" t="s">
        <v>1402</v>
      </c>
      <c r="B833" s="236"/>
      <c r="C833" s="236"/>
      <c r="D833" s="236"/>
      <c r="E833" s="236"/>
    </row>
    <row r="834" spans="1:5" ht="22.05" hidden="1" customHeight="1" outlineLevel="1">
      <c r="A834" s="210" t="s">
        <v>1287</v>
      </c>
      <c r="B834" s="822" t="s">
        <v>1257</v>
      </c>
      <c r="C834" s="822" t="s">
        <v>1258</v>
      </c>
      <c r="D834" s="824" t="s">
        <v>1259</v>
      </c>
      <c r="E834" s="825"/>
    </row>
    <row r="835" spans="1:5" ht="22.05" hidden="1" customHeight="1" outlineLevel="1">
      <c r="A835" s="211"/>
      <c r="B835" s="823"/>
      <c r="C835" s="823"/>
      <c r="D835" s="788" t="s">
        <v>1260</v>
      </c>
      <c r="E835" s="788" t="s">
        <v>1261</v>
      </c>
    </row>
    <row r="836" spans="1:5" ht="22.05" hidden="1" customHeight="1" outlineLevel="1">
      <c r="A836" s="218" t="s">
        <v>1298</v>
      </c>
      <c r="B836" s="215">
        <v>1500000</v>
      </c>
      <c r="C836" s="215">
        <f>SUM(C837:C839)</f>
        <v>1000000</v>
      </c>
      <c r="D836" s="215">
        <f>SUM(D837:D839)</f>
        <v>1100000</v>
      </c>
      <c r="E836" s="215">
        <f>SUM(E837:E839)</f>
        <v>1210000</v>
      </c>
    </row>
    <row r="837" spans="1:5" ht="22.05" hidden="1" customHeight="1" outlineLevel="1">
      <c r="A837" s="224" t="s">
        <v>1288</v>
      </c>
      <c r="B837" s="217"/>
      <c r="C837" s="217"/>
      <c r="D837" s="217">
        <f t="shared" ref="D837:E837" si="318">C837*1.1</f>
        <v>0</v>
      </c>
      <c r="E837" s="217">
        <f t="shared" si="318"/>
        <v>0</v>
      </c>
    </row>
    <row r="838" spans="1:5" ht="22.05" hidden="1" customHeight="1" outlineLevel="1">
      <c r="A838" s="224" t="s">
        <v>1289</v>
      </c>
      <c r="B838" s="217">
        <v>1500000</v>
      </c>
      <c r="C838" s="217">
        <f>'Itemized Budget 2026-27'!E2076</f>
        <v>1000000</v>
      </c>
      <c r="D838" s="217">
        <f t="shared" ref="D838:E838" si="319">C838*1.1</f>
        <v>1100000</v>
      </c>
      <c r="E838" s="217">
        <f t="shared" si="319"/>
        <v>1210000</v>
      </c>
    </row>
    <row r="839" spans="1:5" ht="22.05" hidden="1" customHeight="1" outlineLevel="1">
      <c r="A839" s="224" t="s">
        <v>1290</v>
      </c>
      <c r="B839" s="217"/>
      <c r="C839" s="217"/>
      <c r="D839" s="217">
        <f t="shared" ref="D839:E839" si="320">C839*1.1</f>
        <v>0</v>
      </c>
      <c r="E839" s="217">
        <f t="shared" si="320"/>
        <v>0</v>
      </c>
    </row>
    <row r="840" spans="1:5" ht="22.05" hidden="1" customHeight="1" outlineLevel="1">
      <c r="A840" s="218" t="s">
        <v>1291</v>
      </c>
      <c r="B840" s="215">
        <v>4185000</v>
      </c>
      <c r="C840" s="215">
        <f>SUM(C841:C842)</f>
        <v>0</v>
      </c>
      <c r="D840" s="215">
        <f t="shared" ref="D840:E840" si="321">SUM(D841:D842)</f>
        <v>0</v>
      </c>
      <c r="E840" s="215">
        <f t="shared" si="321"/>
        <v>0</v>
      </c>
    </row>
    <row r="841" spans="1:5" ht="22.05" hidden="1" customHeight="1" outlineLevel="1">
      <c r="A841" s="224" t="s">
        <v>1299</v>
      </c>
      <c r="B841" s="217">
        <v>4185000</v>
      </c>
      <c r="C841" s="217">
        <f>'Itemized Budget 2026-27'!E2081</f>
        <v>0</v>
      </c>
      <c r="D841" s="217">
        <f t="shared" ref="D841:E841" si="322">C841*1.1</f>
        <v>0</v>
      </c>
      <c r="E841" s="217">
        <f t="shared" si="322"/>
        <v>0</v>
      </c>
    </row>
    <row r="842" spans="1:5" ht="22.05" hidden="1" customHeight="1" outlineLevel="1">
      <c r="A842" s="224" t="s">
        <v>1300</v>
      </c>
      <c r="B842" s="217">
        <v>0</v>
      </c>
      <c r="C842" s="217">
        <v>0</v>
      </c>
      <c r="D842" s="217">
        <f t="shared" ref="D842:E842" si="323">C842*1.1</f>
        <v>0</v>
      </c>
      <c r="E842" s="217">
        <f t="shared" si="323"/>
        <v>0</v>
      </c>
    </row>
    <row r="843" spans="1:5" ht="22.05" hidden="1" customHeight="1" outlineLevel="1">
      <c r="A843" s="218" t="s">
        <v>1301</v>
      </c>
      <c r="B843" s="215">
        <v>5685000</v>
      </c>
      <c r="C843" s="215">
        <f>C836+C840</f>
        <v>1000000</v>
      </c>
      <c r="D843" s="215">
        <f>D836+D840</f>
        <v>1100000</v>
      </c>
      <c r="E843" s="215">
        <f>E836+E840</f>
        <v>1210000</v>
      </c>
    </row>
    <row r="844" spans="1:5" ht="22.05" hidden="1" customHeight="1" outlineLevel="1"/>
    <row r="845" spans="1:5" ht="22.05" hidden="1" customHeight="1" outlineLevel="1"/>
    <row r="846" spans="1:5" ht="22.05" hidden="1" customHeight="1" outlineLevel="1">
      <c r="A846" s="256" t="s">
        <v>1403</v>
      </c>
      <c r="B846" s="257"/>
      <c r="C846" s="257"/>
      <c r="D846" s="250"/>
      <c r="E846" s="250"/>
    </row>
    <row r="847" spans="1:5" ht="22.05" hidden="1" customHeight="1" outlineLevel="1">
      <c r="A847" s="210" t="s">
        <v>1287</v>
      </c>
      <c r="B847" s="822" t="s">
        <v>1257</v>
      </c>
      <c r="C847" s="822" t="s">
        <v>1258</v>
      </c>
      <c r="D847" s="824" t="s">
        <v>1259</v>
      </c>
      <c r="E847" s="825"/>
    </row>
    <row r="848" spans="1:5" ht="22.05" hidden="1" customHeight="1" outlineLevel="1">
      <c r="A848" s="211"/>
      <c r="B848" s="823"/>
      <c r="C848" s="823"/>
      <c r="D848" s="788" t="s">
        <v>1260</v>
      </c>
      <c r="E848" s="788" t="s">
        <v>1261</v>
      </c>
    </row>
    <row r="849" spans="1:5" ht="22.05" hidden="1" customHeight="1" outlineLevel="1">
      <c r="A849" s="218" t="s">
        <v>1298</v>
      </c>
      <c r="B849" s="215">
        <v>2244170.2200000002</v>
      </c>
      <c r="C849" s="215">
        <f>SUM(C850:C852)</f>
        <v>1544170.22</v>
      </c>
      <c r="D849" s="215">
        <f>SUM(D850:D852)</f>
        <v>1698587.2420000001</v>
      </c>
      <c r="E849" s="215">
        <f>SUM(E850:E852)</f>
        <v>1868445.9662000001</v>
      </c>
    </row>
    <row r="850" spans="1:5" s="201" customFormat="1" ht="22.05" hidden="1" customHeight="1" outlineLevel="1">
      <c r="A850" s="224" t="s">
        <v>1288</v>
      </c>
      <c r="B850" s="217">
        <v>0</v>
      </c>
      <c r="C850" s="217">
        <v>0</v>
      </c>
      <c r="D850" s="217">
        <f t="shared" ref="D850:E850" si="324">C850*1.1</f>
        <v>0</v>
      </c>
      <c r="E850" s="217">
        <f t="shared" si="324"/>
        <v>0</v>
      </c>
    </row>
    <row r="851" spans="1:5" ht="22.05" hidden="1" customHeight="1" outlineLevel="1">
      <c r="A851" s="224" t="s">
        <v>1289</v>
      </c>
      <c r="B851" s="217">
        <v>2244170.2200000002</v>
      </c>
      <c r="C851" s="217">
        <f>'Itemized Budget 2026-27'!E2092</f>
        <v>1544170.22</v>
      </c>
      <c r="D851" s="217">
        <f t="shared" ref="D851:E851" si="325">C851*1.1</f>
        <v>1698587.2420000001</v>
      </c>
      <c r="E851" s="217">
        <f t="shared" si="325"/>
        <v>1868445.9662000001</v>
      </c>
    </row>
    <row r="852" spans="1:5" s="201" customFormat="1" ht="22.05" hidden="1" customHeight="1" outlineLevel="1">
      <c r="A852" s="224" t="s">
        <v>1290</v>
      </c>
      <c r="B852" s="217">
        <v>0</v>
      </c>
      <c r="C852" s="217">
        <v>0</v>
      </c>
      <c r="D852" s="217">
        <f t="shared" ref="D852:E852" si="326">C852*1.1</f>
        <v>0</v>
      </c>
      <c r="E852" s="217">
        <f t="shared" si="326"/>
        <v>0</v>
      </c>
    </row>
    <row r="853" spans="1:5" ht="22.05" hidden="1" customHeight="1" outlineLevel="1">
      <c r="A853" s="218" t="s">
        <v>1291</v>
      </c>
      <c r="B853" s="215">
        <v>0</v>
      </c>
      <c r="C853" s="215">
        <f>SUM(C854:C855)</f>
        <v>0</v>
      </c>
      <c r="D853" s="215">
        <f t="shared" ref="D853:E853" si="327">SUM(D854:D855)</f>
        <v>0</v>
      </c>
      <c r="E853" s="215">
        <f t="shared" si="327"/>
        <v>0</v>
      </c>
    </row>
    <row r="854" spans="1:5" s="201" customFormat="1" ht="22.05" hidden="1" customHeight="1" outlineLevel="1">
      <c r="A854" s="224" t="s">
        <v>1299</v>
      </c>
      <c r="B854" s="217"/>
      <c r="C854" s="217"/>
      <c r="D854" s="217">
        <f t="shared" ref="D854:E854" si="328">C854*1.1</f>
        <v>0</v>
      </c>
      <c r="E854" s="217">
        <f t="shared" si="328"/>
        <v>0</v>
      </c>
    </row>
    <row r="855" spans="1:5" ht="22.05" hidden="1" customHeight="1" outlineLevel="1">
      <c r="A855" s="224" t="s">
        <v>1300</v>
      </c>
      <c r="B855" s="217"/>
      <c r="C855" s="217"/>
      <c r="D855" s="217">
        <f t="shared" ref="D855:E855" si="329">C855*1.1</f>
        <v>0</v>
      </c>
      <c r="E855" s="217">
        <f t="shared" si="329"/>
        <v>0</v>
      </c>
    </row>
    <row r="856" spans="1:5" ht="22.05" hidden="1" customHeight="1" outlineLevel="1">
      <c r="A856" s="218" t="s">
        <v>1301</v>
      </c>
      <c r="B856" s="215">
        <v>2244170.2200000002</v>
      </c>
      <c r="C856" s="215">
        <f>C849+C853</f>
        <v>1544170.22</v>
      </c>
      <c r="D856" s="215">
        <f>D849+D853</f>
        <v>1698587.2420000001</v>
      </c>
      <c r="E856" s="215">
        <f>E849+E853</f>
        <v>1868445.9662000001</v>
      </c>
    </row>
    <row r="857" spans="1:5" ht="22.05" hidden="1" customHeight="1" outlineLevel="1"/>
    <row r="858" spans="1:5" ht="22.05" hidden="1" customHeight="1" outlineLevel="1"/>
    <row r="859" spans="1:5" ht="22.05" hidden="1" customHeight="1" outlineLevel="1">
      <c r="A859" s="256" t="s">
        <v>1404</v>
      </c>
      <c r="B859" s="250"/>
      <c r="C859" s="250"/>
      <c r="D859" s="236"/>
      <c r="E859" s="236"/>
    </row>
    <row r="860" spans="1:5" ht="22.05" hidden="1" customHeight="1" outlineLevel="1">
      <c r="A860" s="210" t="s">
        <v>1287</v>
      </c>
      <c r="B860" s="822" t="s">
        <v>1257</v>
      </c>
      <c r="C860" s="822" t="s">
        <v>1258</v>
      </c>
      <c r="D860" s="824" t="s">
        <v>1259</v>
      </c>
      <c r="E860" s="825"/>
    </row>
    <row r="861" spans="1:5" ht="22.05" hidden="1" customHeight="1" outlineLevel="1">
      <c r="A861" s="211"/>
      <c r="B861" s="823"/>
      <c r="C861" s="823"/>
      <c r="D861" s="788" t="s">
        <v>1260</v>
      </c>
      <c r="E861" s="788" t="s">
        <v>1261</v>
      </c>
    </row>
    <row r="862" spans="1:5" ht="22.05" hidden="1" customHeight="1" outlineLevel="1">
      <c r="A862" s="218" t="s">
        <v>1298</v>
      </c>
      <c r="B862" s="215">
        <v>2659869</v>
      </c>
      <c r="C862" s="215">
        <f>SUM(C863:C865)</f>
        <v>2659869</v>
      </c>
      <c r="D862" s="215">
        <f>SUM(D863:D865)</f>
        <v>2925855.9000000004</v>
      </c>
      <c r="E862" s="215">
        <f>SUM(E863:E865)</f>
        <v>3218441.4900000007</v>
      </c>
    </row>
    <row r="863" spans="1:5" ht="22.05" hidden="1" customHeight="1" outlineLevel="1">
      <c r="A863" s="224" t="s">
        <v>1288</v>
      </c>
      <c r="B863" s="217">
        <v>0</v>
      </c>
      <c r="C863" s="217">
        <v>0</v>
      </c>
      <c r="D863" s="217">
        <f t="shared" ref="D863:E863" si="330">C863*1.1</f>
        <v>0</v>
      </c>
      <c r="E863" s="217">
        <f t="shared" si="330"/>
        <v>0</v>
      </c>
    </row>
    <row r="864" spans="1:5" ht="22.05" hidden="1" customHeight="1" outlineLevel="1">
      <c r="A864" s="224" t="s">
        <v>1289</v>
      </c>
      <c r="B864" s="217">
        <v>2659869</v>
      </c>
      <c r="C864" s="217">
        <f>'Itemized Budget 2026-27'!E2103</f>
        <v>2659869</v>
      </c>
      <c r="D864" s="217">
        <f t="shared" ref="D864:E864" si="331">C864*1.1</f>
        <v>2925855.9000000004</v>
      </c>
      <c r="E864" s="217">
        <f t="shared" si="331"/>
        <v>3218441.4900000007</v>
      </c>
    </row>
    <row r="865" spans="1:5" ht="22.05" hidden="1" customHeight="1" outlineLevel="1">
      <c r="A865" s="224" t="s">
        <v>1290</v>
      </c>
      <c r="B865" s="217">
        <v>0</v>
      </c>
      <c r="C865" s="217">
        <v>0</v>
      </c>
      <c r="D865" s="217">
        <f t="shared" ref="D865:E865" si="332">C865*1.1</f>
        <v>0</v>
      </c>
      <c r="E865" s="217">
        <f t="shared" si="332"/>
        <v>0</v>
      </c>
    </row>
    <row r="866" spans="1:5" ht="22.05" hidden="1" customHeight="1" outlineLevel="1">
      <c r="A866" s="218" t="s">
        <v>1291</v>
      </c>
      <c r="B866" s="215">
        <v>0</v>
      </c>
      <c r="C866" s="215">
        <f>SUM(C867:C868)</f>
        <v>0</v>
      </c>
      <c r="D866" s="215">
        <f t="shared" ref="D866:E866" si="333">SUM(D867:D868)</f>
        <v>0</v>
      </c>
      <c r="E866" s="215">
        <f t="shared" si="333"/>
        <v>0</v>
      </c>
    </row>
    <row r="867" spans="1:5" ht="22.05" hidden="1" customHeight="1" outlineLevel="1">
      <c r="A867" s="224" t="s">
        <v>1299</v>
      </c>
      <c r="B867" s="217"/>
      <c r="C867" s="217"/>
      <c r="D867" s="217">
        <f t="shared" ref="D867:E867" si="334">C867*1.1</f>
        <v>0</v>
      </c>
      <c r="E867" s="217">
        <f t="shared" si="334"/>
        <v>0</v>
      </c>
    </row>
    <row r="868" spans="1:5" ht="22.05" hidden="1" customHeight="1" outlineLevel="1">
      <c r="A868" s="224" t="s">
        <v>1300</v>
      </c>
      <c r="B868" s="217">
        <v>0</v>
      </c>
      <c r="C868" s="217">
        <v>0</v>
      </c>
      <c r="D868" s="217">
        <f t="shared" ref="D868:E868" si="335">C868*1.1</f>
        <v>0</v>
      </c>
      <c r="E868" s="217">
        <f t="shared" si="335"/>
        <v>0</v>
      </c>
    </row>
    <row r="869" spans="1:5" ht="22.05" hidden="1" customHeight="1" outlineLevel="1">
      <c r="A869" s="218" t="s">
        <v>1301</v>
      </c>
      <c r="B869" s="215">
        <v>2659869</v>
      </c>
      <c r="C869" s="215">
        <f>SUM(C862+C866)</f>
        <v>2659869</v>
      </c>
      <c r="D869" s="215">
        <f>SUM(D862+D866)</f>
        <v>2925855.9000000004</v>
      </c>
      <c r="E869" s="215">
        <f>SUM(E862+E866)</f>
        <v>3218441.4900000007</v>
      </c>
    </row>
    <row r="870" spans="1:5" ht="22.05" hidden="1" customHeight="1" outlineLevel="1">
      <c r="A870" s="201"/>
      <c r="B870" s="208"/>
      <c r="C870" s="208"/>
      <c r="D870" s="208"/>
      <c r="E870" s="208"/>
    </row>
    <row r="871" spans="1:5" ht="22.05" hidden="1" customHeight="1" outlineLevel="1">
      <c r="A871" s="201"/>
      <c r="B871" s="208"/>
      <c r="C871" s="208"/>
      <c r="D871" s="208"/>
      <c r="E871" s="208"/>
    </row>
    <row r="872" spans="1:5" ht="22.05" hidden="1" customHeight="1" outlineLevel="1">
      <c r="A872" s="201" t="s">
        <v>1405</v>
      </c>
      <c r="B872" s="208"/>
      <c r="C872" s="208"/>
      <c r="D872" s="208"/>
      <c r="E872" s="208"/>
    </row>
    <row r="873" spans="1:5" ht="22.05" hidden="1" customHeight="1" outlineLevel="1">
      <c r="A873" s="210" t="s">
        <v>1287</v>
      </c>
      <c r="B873" s="822" t="s">
        <v>1257</v>
      </c>
      <c r="C873" s="822" t="s">
        <v>1258</v>
      </c>
      <c r="D873" s="824" t="s">
        <v>1259</v>
      </c>
      <c r="E873" s="825"/>
    </row>
    <row r="874" spans="1:5" ht="22.05" hidden="1" customHeight="1" outlineLevel="1">
      <c r="A874" s="211"/>
      <c r="B874" s="823"/>
      <c r="C874" s="823"/>
      <c r="D874" s="788" t="s">
        <v>1260</v>
      </c>
      <c r="E874" s="788" t="s">
        <v>1261</v>
      </c>
    </row>
    <row r="875" spans="1:5" ht="22.05" hidden="1" customHeight="1" outlineLevel="1">
      <c r="A875" s="218" t="s">
        <v>1298</v>
      </c>
      <c r="B875" s="215">
        <v>3042442.7220000001</v>
      </c>
      <c r="C875" s="215">
        <f>SUM(C876:C878)</f>
        <v>1283942.7220000001</v>
      </c>
      <c r="D875" s="215">
        <f>SUM(D876:D878)</f>
        <v>1412336.9942000001</v>
      </c>
      <c r="E875" s="215">
        <f>SUM(E876:E878)</f>
        <v>1553570.6936200003</v>
      </c>
    </row>
    <row r="876" spans="1:5" ht="22.05" hidden="1" customHeight="1" outlineLevel="1">
      <c r="A876" s="224" t="s">
        <v>1288</v>
      </c>
      <c r="B876" s="217">
        <v>0</v>
      </c>
      <c r="C876" s="217">
        <v>0</v>
      </c>
      <c r="D876" s="217">
        <f t="shared" ref="D876:E876" si="336">C876*1.1</f>
        <v>0</v>
      </c>
      <c r="E876" s="217">
        <f t="shared" si="336"/>
        <v>0</v>
      </c>
    </row>
    <row r="877" spans="1:5" ht="22.05" hidden="1" customHeight="1" outlineLevel="1">
      <c r="A877" s="224" t="s">
        <v>1289</v>
      </c>
      <c r="B877" s="217">
        <v>3042442.7220000001</v>
      </c>
      <c r="C877" s="217">
        <f>'Itemized Budget 2026-27'!E2113</f>
        <v>1283942.7220000001</v>
      </c>
      <c r="D877" s="217">
        <f t="shared" ref="D877:E877" si="337">C877*1.1</f>
        <v>1412336.9942000001</v>
      </c>
      <c r="E877" s="217">
        <f t="shared" si="337"/>
        <v>1553570.6936200003</v>
      </c>
    </row>
    <row r="878" spans="1:5" ht="22.05" hidden="1" customHeight="1" outlineLevel="1">
      <c r="A878" s="224" t="s">
        <v>1290</v>
      </c>
      <c r="B878" s="217">
        <v>0</v>
      </c>
      <c r="C878" s="217">
        <v>0</v>
      </c>
      <c r="D878" s="217">
        <f t="shared" ref="D878:E878" si="338">C878*1.1</f>
        <v>0</v>
      </c>
      <c r="E878" s="217">
        <f t="shared" si="338"/>
        <v>0</v>
      </c>
    </row>
    <row r="879" spans="1:5" ht="22.05" hidden="1" customHeight="1" outlineLevel="1">
      <c r="A879" s="218" t="s">
        <v>1291</v>
      </c>
      <c r="B879" s="215">
        <v>0</v>
      </c>
      <c r="C879" s="215">
        <f>SUM(C880:C881)</f>
        <v>0</v>
      </c>
      <c r="D879" s="215">
        <f t="shared" ref="D879:E879" si="339">SUM(D880:D881)</f>
        <v>0</v>
      </c>
      <c r="E879" s="215">
        <f t="shared" si="339"/>
        <v>0</v>
      </c>
    </row>
    <row r="880" spans="1:5" ht="22.05" hidden="1" customHeight="1" outlineLevel="1">
      <c r="A880" s="224" t="s">
        <v>1299</v>
      </c>
      <c r="B880" s="217"/>
      <c r="C880" s="217"/>
      <c r="D880" s="217">
        <f t="shared" ref="D880:E880" si="340">C880*1.1</f>
        <v>0</v>
      </c>
      <c r="E880" s="217">
        <f t="shared" si="340"/>
        <v>0</v>
      </c>
    </row>
    <row r="881" spans="1:5" ht="22.05" hidden="1" customHeight="1" outlineLevel="1">
      <c r="A881" s="224" t="s">
        <v>1300</v>
      </c>
      <c r="B881" s="217">
        <v>0</v>
      </c>
      <c r="C881" s="217">
        <v>0</v>
      </c>
      <c r="D881" s="217">
        <f t="shared" ref="D881:E881" si="341">C881*1.1</f>
        <v>0</v>
      </c>
      <c r="E881" s="217">
        <f t="shared" si="341"/>
        <v>0</v>
      </c>
    </row>
    <row r="882" spans="1:5" ht="22.05" hidden="1" customHeight="1" outlineLevel="1">
      <c r="A882" s="218" t="s">
        <v>1301</v>
      </c>
      <c r="B882" s="215">
        <v>3042442.7220000001</v>
      </c>
      <c r="C882" s="215">
        <f>C875+C879</f>
        <v>1283942.7220000001</v>
      </c>
      <c r="D882" s="215">
        <f>D875+D879</f>
        <v>1412336.9942000001</v>
      </c>
      <c r="E882" s="215">
        <f>E875+E879</f>
        <v>1553570.6936200003</v>
      </c>
    </row>
    <row r="883" spans="1:5" ht="22.05" hidden="1" customHeight="1" outlineLevel="1">
      <c r="A883" s="201"/>
      <c r="B883" s="208"/>
      <c r="C883" s="208"/>
      <c r="D883" s="208"/>
      <c r="E883" s="208"/>
    </row>
    <row r="884" spans="1:5" ht="22.05" hidden="1" customHeight="1" outlineLevel="1">
      <c r="A884" s="201" t="s">
        <v>1406</v>
      </c>
      <c r="B884" s="208"/>
      <c r="C884" s="208"/>
      <c r="D884" s="208"/>
      <c r="E884" s="208"/>
    </row>
    <row r="885" spans="1:5" ht="22.05" hidden="1" customHeight="1" outlineLevel="1">
      <c r="A885" s="210" t="s">
        <v>1287</v>
      </c>
      <c r="B885" s="822" t="s">
        <v>1257</v>
      </c>
      <c r="C885" s="822" t="s">
        <v>1258</v>
      </c>
      <c r="D885" s="824" t="s">
        <v>1259</v>
      </c>
      <c r="E885" s="825"/>
    </row>
    <row r="886" spans="1:5" ht="22.05" hidden="1" customHeight="1" outlineLevel="1">
      <c r="A886" s="211"/>
      <c r="B886" s="823"/>
      <c r="C886" s="823"/>
      <c r="D886" s="788" t="s">
        <v>1260</v>
      </c>
      <c r="E886" s="788" t="s">
        <v>1261</v>
      </c>
    </row>
    <row r="887" spans="1:5" ht="22.05" hidden="1" customHeight="1" outlineLevel="1">
      <c r="A887" s="218" t="s">
        <v>1298</v>
      </c>
      <c r="B887" s="215">
        <v>1181200</v>
      </c>
      <c r="C887" s="215">
        <f>SUM(C888:C890)</f>
        <v>1001200</v>
      </c>
      <c r="D887" s="215">
        <f>SUM(D888:D890)</f>
        <v>1101320</v>
      </c>
      <c r="E887" s="215">
        <f>SUM(E888:E890)</f>
        <v>1211452</v>
      </c>
    </row>
    <row r="888" spans="1:5" ht="22.05" hidden="1" customHeight="1" outlineLevel="1">
      <c r="A888" s="224" t="s">
        <v>1288</v>
      </c>
      <c r="B888" s="217">
        <v>0</v>
      </c>
      <c r="C888" s="217">
        <v>0</v>
      </c>
      <c r="D888" s="217">
        <f t="shared" ref="D888:E888" si="342">C888*1.1</f>
        <v>0</v>
      </c>
      <c r="E888" s="217">
        <f t="shared" si="342"/>
        <v>0</v>
      </c>
    </row>
    <row r="889" spans="1:5" ht="22.05" hidden="1" customHeight="1" outlineLevel="1">
      <c r="A889" s="224" t="s">
        <v>1289</v>
      </c>
      <c r="B889" s="217">
        <v>1181200</v>
      </c>
      <c r="C889" s="217">
        <f>'Itemized Budget 2026-27'!E2122</f>
        <v>1001200</v>
      </c>
      <c r="D889" s="217">
        <f t="shared" ref="D889:E889" si="343">C889*1.1</f>
        <v>1101320</v>
      </c>
      <c r="E889" s="217">
        <f t="shared" si="343"/>
        <v>1211452</v>
      </c>
    </row>
    <row r="890" spans="1:5" ht="22.05" hidden="1" customHeight="1" outlineLevel="1">
      <c r="A890" s="224" t="s">
        <v>1290</v>
      </c>
      <c r="B890" s="217">
        <v>0</v>
      </c>
      <c r="C890" s="217">
        <v>0</v>
      </c>
      <c r="D890" s="217">
        <f t="shared" ref="D890:E890" si="344">C890*1.1</f>
        <v>0</v>
      </c>
      <c r="E890" s="217">
        <f t="shared" si="344"/>
        <v>0</v>
      </c>
    </row>
    <row r="891" spans="1:5" ht="22.05" hidden="1" customHeight="1" outlineLevel="1">
      <c r="A891" s="218" t="s">
        <v>1291</v>
      </c>
      <c r="B891" s="215">
        <v>0</v>
      </c>
      <c r="C891" s="215">
        <f>SUM(C892:C893)</f>
        <v>0</v>
      </c>
      <c r="D891" s="215">
        <f t="shared" ref="D891:E891" si="345">SUM(D892:D893)</f>
        <v>0</v>
      </c>
      <c r="E891" s="215">
        <f t="shared" si="345"/>
        <v>0</v>
      </c>
    </row>
    <row r="892" spans="1:5" ht="22.05" hidden="1" customHeight="1" outlineLevel="1">
      <c r="A892" s="224" t="s">
        <v>1299</v>
      </c>
      <c r="B892" s="217"/>
      <c r="C892" s="217"/>
      <c r="D892" s="217">
        <f t="shared" ref="D892:E892" si="346">C892*1.1</f>
        <v>0</v>
      </c>
      <c r="E892" s="217">
        <f t="shared" si="346"/>
        <v>0</v>
      </c>
    </row>
    <row r="893" spans="1:5" ht="22.05" hidden="1" customHeight="1" outlineLevel="1">
      <c r="A893" s="224" t="s">
        <v>1300</v>
      </c>
      <c r="B893" s="217">
        <v>0</v>
      </c>
      <c r="C893" s="217">
        <v>0</v>
      </c>
      <c r="D893" s="217">
        <f t="shared" ref="D893:E893" si="347">C893*1.1</f>
        <v>0</v>
      </c>
      <c r="E893" s="217">
        <f t="shared" si="347"/>
        <v>0</v>
      </c>
    </row>
    <row r="894" spans="1:5" ht="22.05" hidden="1" customHeight="1" outlineLevel="1">
      <c r="A894" s="218" t="s">
        <v>1301</v>
      </c>
      <c r="B894" s="215">
        <v>1181200</v>
      </c>
      <c r="C894" s="215">
        <f>C887+C891</f>
        <v>1001200</v>
      </c>
      <c r="D894" s="215">
        <f>D887+D891</f>
        <v>1101320</v>
      </c>
      <c r="E894" s="215">
        <f>E887+E891</f>
        <v>1211452</v>
      </c>
    </row>
    <row r="895" spans="1:5" ht="22.05" hidden="1" customHeight="1" outlineLevel="1">
      <c r="A895" s="201"/>
      <c r="B895" s="208"/>
      <c r="C895" s="208"/>
      <c r="D895" s="208"/>
      <c r="E895" s="208"/>
    </row>
    <row r="896" spans="1:5" ht="22.05" hidden="1" customHeight="1" outlineLevel="1">
      <c r="A896" s="201" t="s">
        <v>1407</v>
      </c>
      <c r="B896" s="208"/>
      <c r="C896" s="208"/>
      <c r="D896" s="208"/>
      <c r="E896" s="208"/>
    </row>
    <row r="897" spans="1:5" ht="22.05" hidden="1" customHeight="1" outlineLevel="1">
      <c r="A897" s="210" t="s">
        <v>1287</v>
      </c>
      <c r="B897" s="822" t="s">
        <v>1257</v>
      </c>
      <c r="C897" s="822" t="s">
        <v>1258</v>
      </c>
      <c r="D897" s="824" t="s">
        <v>1259</v>
      </c>
      <c r="E897" s="825"/>
    </row>
    <row r="898" spans="1:5" ht="22.05" hidden="1" customHeight="1" outlineLevel="1">
      <c r="A898" s="211"/>
      <c r="B898" s="823"/>
      <c r="C898" s="823"/>
      <c r="D898" s="788" t="s">
        <v>1260</v>
      </c>
      <c r="E898" s="788" t="s">
        <v>1261</v>
      </c>
    </row>
    <row r="899" spans="1:5" ht="22.05" hidden="1" customHeight="1" outlineLevel="1">
      <c r="A899" s="218" t="s">
        <v>1298</v>
      </c>
      <c r="B899" s="215">
        <v>33284483.473000001</v>
      </c>
      <c r="C899" s="215">
        <f>SUM(C900:C902)</f>
        <v>26557770.472999997</v>
      </c>
      <c r="D899" s="215">
        <f>SUM(D900:D902)</f>
        <v>29213547.520300001</v>
      </c>
      <c r="E899" s="215">
        <f>SUM(E900:E902)</f>
        <v>32134902.272330001</v>
      </c>
    </row>
    <row r="900" spans="1:5" ht="22.05" hidden="1" customHeight="1" outlineLevel="1">
      <c r="A900" s="224" t="s">
        <v>1288</v>
      </c>
      <c r="B900" s="217">
        <v>0</v>
      </c>
      <c r="C900" s="217">
        <v>0</v>
      </c>
      <c r="D900" s="217">
        <f t="shared" ref="D900:E900" si="348">C900*1.1</f>
        <v>0</v>
      </c>
      <c r="E900" s="217">
        <f t="shared" si="348"/>
        <v>0</v>
      </c>
    </row>
    <row r="901" spans="1:5" ht="22.05" hidden="1" customHeight="1" outlineLevel="1">
      <c r="A901" s="224" t="s">
        <v>1289</v>
      </c>
      <c r="B901" s="217">
        <v>9902574.4729999993</v>
      </c>
      <c r="C901" s="217">
        <f>'Itemized Budget 2026-27'!E2138-'Itemized Budget 2026-27'!E2136</f>
        <v>9641519.4729999974</v>
      </c>
      <c r="D901" s="217">
        <f t="shared" ref="D901:E901" si="349">C901*1.1</f>
        <v>10605671.420299998</v>
      </c>
      <c r="E901" s="217">
        <f t="shared" si="349"/>
        <v>11666238.562329998</v>
      </c>
    </row>
    <row r="902" spans="1:5" ht="22.05" hidden="1" customHeight="1" outlineLevel="1">
      <c r="A902" s="224" t="s">
        <v>1290</v>
      </c>
      <c r="B902" s="217">
        <v>23381909</v>
      </c>
      <c r="C902" s="217">
        <f>'Itemized Budget 2026-27'!E2136</f>
        <v>16916251</v>
      </c>
      <c r="D902" s="217">
        <f t="shared" ref="D902:E902" si="350">C902*1.1</f>
        <v>18607876.100000001</v>
      </c>
      <c r="E902" s="217">
        <f t="shared" si="350"/>
        <v>20468663.710000005</v>
      </c>
    </row>
    <row r="903" spans="1:5" ht="22.05" hidden="1" customHeight="1" outlineLevel="1">
      <c r="A903" s="218" t="s">
        <v>1291</v>
      </c>
      <c r="B903" s="215">
        <v>0</v>
      </c>
      <c r="C903" s="215">
        <f>SUM(C904:C905)</f>
        <v>0</v>
      </c>
      <c r="D903" s="215">
        <f t="shared" ref="D903:E903" si="351">SUM(D904:D905)</f>
        <v>0</v>
      </c>
      <c r="E903" s="215">
        <f t="shared" si="351"/>
        <v>0</v>
      </c>
    </row>
    <row r="904" spans="1:5" ht="22.05" hidden="1" customHeight="1" outlineLevel="1">
      <c r="A904" s="224" t="s">
        <v>1299</v>
      </c>
      <c r="B904" s="217"/>
      <c r="C904" s="217"/>
      <c r="D904" s="217">
        <f t="shared" ref="D904:E904" si="352">C904*1.1</f>
        <v>0</v>
      </c>
      <c r="E904" s="217">
        <f t="shared" si="352"/>
        <v>0</v>
      </c>
    </row>
    <row r="905" spans="1:5" ht="22.05" hidden="1" customHeight="1" outlineLevel="1">
      <c r="A905" s="224" t="s">
        <v>1300</v>
      </c>
      <c r="B905" s="217">
        <v>0</v>
      </c>
      <c r="C905" s="217">
        <v>0</v>
      </c>
      <c r="D905" s="217">
        <f t="shared" ref="D905:E905" si="353">C905*1.1</f>
        <v>0</v>
      </c>
      <c r="E905" s="217">
        <f t="shared" si="353"/>
        <v>0</v>
      </c>
    </row>
    <row r="906" spans="1:5" ht="22.05" hidden="1" customHeight="1" outlineLevel="1">
      <c r="A906" s="218" t="s">
        <v>1301</v>
      </c>
      <c r="B906" s="215">
        <v>33284483.473000001</v>
      </c>
      <c r="C906" s="215">
        <f>C899+C903</f>
        <v>26557770.472999997</v>
      </c>
      <c r="D906" s="215">
        <f>D899+D903</f>
        <v>29213547.520300001</v>
      </c>
      <c r="E906" s="215">
        <f>E899+E903</f>
        <v>32134902.272330001</v>
      </c>
    </row>
    <row r="907" spans="1:5" ht="22.05" hidden="1" customHeight="1" outlineLevel="1">
      <c r="A907" s="201"/>
      <c r="B907" s="208"/>
      <c r="C907" s="208"/>
      <c r="D907" s="208"/>
      <c r="E907" s="208"/>
    </row>
    <row r="908" spans="1:5" ht="22.05" hidden="1" customHeight="1" outlineLevel="1">
      <c r="A908" s="201" t="s">
        <v>1408</v>
      </c>
      <c r="B908" s="208"/>
      <c r="C908" s="208"/>
      <c r="D908" s="208"/>
      <c r="E908" s="208"/>
    </row>
    <row r="909" spans="1:5" ht="22.05" hidden="1" customHeight="1" outlineLevel="1">
      <c r="A909" s="210" t="s">
        <v>1287</v>
      </c>
      <c r="B909" s="822" t="s">
        <v>1257</v>
      </c>
      <c r="C909" s="822" t="s">
        <v>1258</v>
      </c>
      <c r="D909" s="824" t="s">
        <v>1259</v>
      </c>
      <c r="E909" s="825"/>
    </row>
    <row r="910" spans="1:5" ht="22.05" hidden="1" customHeight="1" outlineLevel="1">
      <c r="A910" s="211"/>
      <c r="B910" s="823"/>
      <c r="C910" s="823"/>
      <c r="D910" s="788" t="s">
        <v>1260</v>
      </c>
      <c r="E910" s="788" t="s">
        <v>1261</v>
      </c>
    </row>
    <row r="911" spans="1:5" ht="22.05" hidden="1" customHeight="1" outlineLevel="1">
      <c r="A911" s="218" t="s">
        <v>1298</v>
      </c>
      <c r="B911" s="215">
        <v>3627337.4416</v>
      </c>
      <c r="C911" s="215">
        <f>SUM(C912:C914)</f>
        <v>2412154.4416</v>
      </c>
      <c r="D911" s="215">
        <f>SUM(D912:D914)</f>
        <v>2653369.8857600004</v>
      </c>
      <c r="E911" s="215">
        <f>SUM(E912:E914)</f>
        <v>2918706.8743360005</v>
      </c>
    </row>
    <row r="912" spans="1:5" ht="22.05" hidden="1" customHeight="1" outlineLevel="1">
      <c r="A912" s="224" t="s">
        <v>1288</v>
      </c>
      <c r="B912" s="217">
        <v>0</v>
      </c>
      <c r="C912" s="217">
        <v>0</v>
      </c>
      <c r="D912" s="217">
        <f t="shared" ref="D912:E912" si="354">C912*1.1</f>
        <v>0</v>
      </c>
      <c r="E912" s="217">
        <f t="shared" si="354"/>
        <v>0</v>
      </c>
    </row>
    <row r="913" spans="1:5" ht="22.05" hidden="1" customHeight="1" outlineLevel="1">
      <c r="A913" s="224" t="s">
        <v>1289</v>
      </c>
      <c r="B913" s="217">
        <v>3627337.4416</v>
      </c>
      <c r="C913" s="217">
        <f>'Itemized Budget 2026-27'!E2147</f>
        <v>2412154.4416</v>
      </c>
      <c r="D913" s="217">
        <f t="shared" ref="D913:E913" si="355">C913*1.1</f>
        <v>2653369.8857600004</v>
      </c>
      <c r="E913" s="217">
        <f t="shared" si="355"/>
        <v>2918706.8743360005</v>
      </c>
    </row>
    <row r="914" spans="1:5" ht="22.05" hidden="1" customHeight="1" outlineLevel="1">
      <c r="A914" s="224" t="s">
        <v>1290</v>
      </c>
      <c r="B914" s="217">
        <v>0</v>
      </c>
      <c r="C914" s="217">
        <v>0</v>
      </c>
      <c r="D914" s="217">
        <f t="shared" ref="D914:E914" si="356">C914*1.1</f>
        <v>0</v>
      </c>
      <c r="E914" s="217">
        <f t="shared" si="356"/>
        <v>0</v>
      </c>
    </row>
    <row r="915" spans="1:5" ht="22.05" hidden="1" customHeight="1" outlineLevel="1">
      <c r="A915" s="218" t="s">
        <v>1291</v>
      </c>
      <c r="B915" s="215">
        <v>0</v>
      </c>
      <c r="C915" s="215">
        <f>SUM(C916:C917)</f>
        <v>0</v>
      </c>
      <c r="D915" s="215">
        <f t="shared" ref="D915:E915" si="357">SUM(D916:D917)</f>
        <v>0</v>
      </c>
      <c r="E915" s="215">
        <f t="shared" si="357"/>
        <v>0</v>
      </c>
    </row>
    <row r="916" spans="1:5" ht="22.05" hidden="1" customHeight="1" outlineLevel="1">
      <c r="A916" s="224" t="s">
        <v>1299</v>
      </c>
      <c r="B916" s="217"/>
      <c r="C916" s="217"/>
      <c r="D916" s="217">
        <f t="shared" ref="D916:E916" si="358">C916*1.1</f>
        <v>0</v>
      </c>
      <c r="E916" s="217">
        <f t="shared" si="358"/>
        <v>0</v>
      </c>
    </row>
    <row r="917" spans="1:5" ht="22.05" hidden="1" customHeight="1" outlineLevel="1">
      <c r="A917" s="224" t="s">
        <v>1300</v>
      </c>
      <c r="B917" s="217">
        <v>0</v>
      </c>
      <c r="C917" s="217">
        <v>0</v>
      </c>
      <c r="D917" s="217">
        <f t="shared" ref="D917:E917" si="359">C917*1.1</f>
        <v>0</v>
      </c>
      <c r="E917" s="217">
        <f t="shared" si="359"/>
        <v>0</v>
      </c>
    </row>
    <row r="918" spans="1:5" ht="22.05" hidden="1" customHeight="1" outlineLevel="1">
      <c r="A918" s="218" t="s">
        <v>1301</v>
      </c>
      <c r="B918" s="215">
        <v>3627337.4416</v>
      </c>
      <c r="C918" s="215">
        <f>C911+C915</f>
        <v>2412154.4416</v>
      </c>
      <c r="D918" s="215">
        <f>D911+D915</f>
        <v>2653369.8857600004</v>
      </c>
      <c r="E918" s="215">
        <f>E911+E915</f>
        <v>2918706.8743360005</v>
      </c>
    </row>
    <row r="919" spans="1:5" ht="22.05" hidden="1" customHeight="1" outlineLevel="1">
      <c r="A919" s="201"/>
      <c r="B919" s="208"/>
      <c r="C919" s="208"/>
      <c r="D919" s="208"/>
      <c r="E919" s="208"/>
    </row>
    <row r="920" spans="1:5" ht="22.05" hidden="1" customHeight="1" outlineLevel="1">
      <c r="A920" s="201"/>
      <c r="B920" s="208"/>
      <c r="C920" s="208"/>
      <c r="D920" s="208"/>
      <c r="E920" s="208"/>
    </row>
    <row r="921" spans="1:5" ht="22.05" hidden="1" customHeight="1" outlineLevel="1">
      <c r="A921" s="201" t="s">
        <v>1409</v>
      </c>
      <c r="B921" s="208"/>
      <c r="C921" s="208"/>
      <c r="D921" s="208"/>
      <c r="E921" s="208"/>
    </row>
    <row r="922" spans="1:5" s="201" customFormat="1" ht="22.05" hidden="1" customHeight="1" outlineLevel="1">
      <c r="A922" s="201" t="s">
        <v>1410</v>
      </c>
      <c r="B922" s="236"/>
      <c r="C922" s="236"/>
      <c r="D922" s="236"/>
      <c r="E922" s="236"/>
    </row>
    <row r="923" spans="1:5" ht="22.05" hidden="1" customHeight="1" outlineLevel="1">
      <c r="A923" s="210" t="s">
        <v>1287</v>
      </c>
      <c r="B923" s="822" t="s">
        <v>1257</v>
      </c>
      <c r="C923" s="822" t="s">
        <v>1258</v>
      </c>
      <c r="D923" s="824" t="s">
        <v>1259</v>
      </c>
      <c r="E923" s="825"/>
    </row>
    <row r="924" spans="1:5" s="201" customFormat="1" ht="22.05" hidden="1" customHeight="1" outlineLevel="1">
      <c r="A924" s="211"/>
      <c r="B924" s="823"/>
      <c r="C924" s="823"/>
      <c r="D924" s="788" t="s">
        <v>1260</v>
      </c>
      <c r="E924" s="788" t="s">
        <v>1261</v>
      </c>
    </row>
    <row r="925" spans="1:5" ht="22.05" hidden="1" customHeight="1" outlineLevel="1">
      <c r="A925" s="218" t="s">
        <v>1298</v>
      </c>
      <c r="B925" s="215">
        <v>1190953771</v>
      </c>
      <c r="C925" s="215">
        <f>SUM(C926:C928)</f>
        <v>1123235496</v>
      </c>
      <c r="D925" s="215">
        <f>SUM(D926:D928)</f>
        <v>1235559045.6000001</v>
      </c>
      <c r="E925" s="215">
        <f>SUM(E926:E928)</f>
        <v>1359114950.1600003</v>
      </c>
    </row>
    <row r="926" spans="1:5" ht="22.05" hidden="1" customHeight="1" outlineLevel="1">
      <c r="A926" s="224" t="s">
        <v>1288</v>
      </c>
      <c r="B926" s="217">
        <v>807213144</v>
      </c>
      <c r="C926" s="217">
        <f>'Itemized Budget 2026-27'!E2158</f>
        <v>808413144</v>
      </c>
      <c r="D926" s="217">
        <f t="shared" ref="D926:E926" si="360">C926*1.1</f>
        <v>889254458.4000001</v>
      </c>
      <c r="E926" s="217">
        <f t="shared" si="360"/>
        <v>978179904.24000013</v>
      </c>
    </row>
    <row r="927" spans="1:5" ht="22.05" hidden="1" customHeight="1" outlineLevel="1">
      <c r="A927" s="224" t="s">
        <v>1289</v>
      </c>
      <c r="B927" s="217">
        <v>381640627</v>
      </c>
      <c r="C927" s="217">
        <f>'Itemized Budget 2026-27'!E2202-'Itemized Budget 2026-27'!E2199-'Itemized Budget 2026-27'!E2158</f>
        <v>313622352</v>
      </c>
      <c r="D927" s="217">
        <f t="shared" ref="D927:E927" si="361">C927*1.1</f>
        <v>344984587.20000005</v>
      </c>
      <c r="E927" s="217">
        <f t="shared" si="361"/>
        <v>379483045.92000008</v>
      </c>
    </row>
    <row r="928" spans="1:5" ht="22.05" hidden="1" customHeight="1" outlineLevel="1">
      <c r="A928" s="224" t="s">
        <v>1290</v>
      </c>
      <c r="B928" s="217">
        <v>2100000</v>
      </c>
      <c r="C928" s="217">
        <f>'Itemized Budget 2026-27'!E2199</f>
        <v>1200000</v>
      </c>
      <c r="D928" s="217">
        <f t="shared" ref="D928:E928" si="362">C928*1.1</f>
        <v>1320000</v>
      </c>
      <c r="E928" s="217">
        <f t="shared" si="362"/>
        <v>1452000.0000000002</v>
      </c>
    </row>
    <row r="929" spans="1:5" ht="22.05" hidden="1" customHeight="1" outlineLevel="1">
      <c r="A929" s="218" t="s">
        <v>1291</v>
      </c>
      <c r="B929" s="215">
        <v>55656483.800000802</v>
      </c>
      <c r="C929" s="215">
        <f>SUM(C930:C931)</f>
        <v>25120097</v>
      </c>
      <c r="D929" s="215">
        <f t="shared" ref="D929:E929" si="363">SUM(D930:D931)</f>
        <v>27632106.700000003</v>
      </c>
      <c r="E929" s="215">
        <f t="shared" si="363"/>
        <v>30395317.370000005</v>
      </c>
    </row>
    <row r="930" spans="1:5" ht="22.05" hidden="1" customHeight="1" outlineLevel="1">
      <c r="A930" s="224" t="s">
        <v>1299</v>
      </c>
      <c r="B930" s="217">
        <v>55656483.800000802</v>
      </c>
      <c r="C930" s="217">
        <f>'Itemized Budget 2026-27'!E2217</f>
        <v>25120097</v>
      </c>
      <c r="D930" s="217">
        <f t="shared" ref="D930:E930" si="364">C930*1.1</f>
        <v>27632106.700000003</v>
      </c>
      <c r="E930" s="217">
        <f t="shared" si="364"/>
        <v>30395317.370000005</v>
      </c>
    </row>
    <row r="931" spans="1:5" ht="22.05" hidden="1" customHeight="1" outlineLevel="1">
      <c r="A931" s="224" t="s">
        <v>1300</v>
      </c>
      <c r="B931" s="217">
        <v>0</v>
      </c>
      <c r="C931" s="217">
        <v>0</v>
      </c>
      <c r="D931" s="217">
        <f t="shared" ref="D931:E931" si="365">C931*1.1</f>
        <v>0</v>
      </c>
      <c r="E931" s="217">
        <f t="shared" si="365"/>
        <v>0</v>
      </c>
    </row>
    <row r="932" spans="1:5" ht="22.05" hidden="1" customHeight="1" outlineLevel="1">
      <c r="A932" s="218" t="s">
        <v>1301</v>
      </c>
      <c r="B932" s="215">
        <v>1246610254.8</v>
      </c>
      <c r="C932" s="215">
        <f>C925+C929</f>
        <v>1148355593</v>
      </c>
      <c r="D932" s="215">
        <f>D925+D929</f>
        <v>1263191152.3000002</v>
      </c>
      <c r="E932" s="215">
        <f>E925+E929</f>
        <v>1389510267.5300002</v>
      </c>
    </row>
    <row r="933" spans="1:5" ht="22.05" hidden="1" customHeight="1" outlineLevel="1">
      <c r="A933" s="237"/>
    </row>
    <row r="934" spans="1:5" ht="22.05" hidden="1" customHeight="1" outlineLevel="1">
      <c r="A934" s="237"/>
    </row>
    <row r="935" spans="1:5" ht="22.05" customHeight="1" collapsed="1">
      <c r="A935" s="237"/>
    </row>
    <row r="936" spans="1:5" ht="22.05" customHeight="1">
      <c r="A936" s="201" t="s">
        <v>624</v>
      </c>
      <c r="B936" s="208"/>
      <c r="C936" s="208"/>
    </row>
    <row r="937" spans="1:5" ht="22.05" hidden="1" customHeight="1" outlineLevel="1">
      <c r="A937" s="201" t="s">
        <v>1255</v>
      </c>
      <c r="B937" s="209"/>
      <c r="C937" s="209"/>
      <c r="D937" s="209"/>
      <c r="E937" s="209"/>
    </row>
    <row r="938" spans="1:5" ht="22.05" hidden="1" customHeight="1" outlineLevel="1">
      <c r="A938" s="210" t="s">
        <v>1256</v>
      </c>
      <c r="B938" s="822" t="s">
        <v>1257</v>
      </c>
      <c r="C938" s="822" t="s">
        <v>1258</v>
      </c>
      <c r="D938" s="824" t="s">
        <v>1259</v>
      </c>
      <c r="E938" s="825"/>
    </row>
    <row r="939" spans="1:5" ht="22.05" hidden="1" customHeight="1" outlineLevel="1">
      <c r="A939" s="211"/>
      <c r="B939" s="823"/>
      <c r="C939" s="823"/>
      <c r="D939" s="788" t="s">
        <v>1260</v>
      </c>
      <c r="E939" s="788" t="s">
        <v>1261</v>
      </c>
    </row>
    <row r="940" spans="1:5" ht="22.05" hidden="1" customHeight="1" outlineLevel="1">
      <c r="A940" s="212" t="s">
        <v>1411</v>
      </c>
      <c r="B940" s="217">
        <v>118053163</v>
      </c>
      <c r="C940" s="217">
        <f>C975</f>
        <v>104821718</v>
      </c>
      <c r="D940" s="217">
        <f>D975</f>
        <v>115303889.80000001</v>
      </c>
      <c r="E940" s="217">
        <f>E975</f>
        <v>126834278.78000003</v>
      </c>
    </row>
    <row r="941" spans="1:5" s="201" customFormat="1" ht="22.05" hidden="1" customHeight="1" outlineLevel="1">
      <c r="A941" s="214" t="s">
        <v>1412</v>
      </c>
      <c r="B941" s="215">
        <v>118053163</v>
      </c>
      <c r="C941" s="215">
        <f>SUM(C940)</f>
        <v>104821718</v>
      </c>
      <c r="D941" s="215">
        <f>SUM(D940)</f>
        <v>115303889.80000001</v>
      </c>
      <c r="E941" s="215">
        <f>SUM(E940)</f>
        <v>126834278.78000003</v>
      </c>
    </row>
    <row r="942" spans="1:5" ht="22.05" hidden="1" customHeight="1" outlineLevel="1">
      <c r="A942" s="212" t="s">
        <v>1413</v>
      </c>
      <c r="B942" s="217">
        <v>117368581</v>
      </c>
      <c r="C942" s="217">
        <f>C989</f>
        <v>130870876</v>
      </c>
      <c r="D942" s="217">
        <f>D989</f>
        <v>143957963.60000002</v>
      </c>
      <c r="E942" s="217">
        <f>E989</f>
        <v>158353759.96000004</v>
      </c>
    </row>
    <row r="943" spans="1:5" s="201" customFormat="1" ht="22.05" hidden="1" customHeight="1" outlineLevel="1">
      <c r="A943" s="212" t="s">
        <v>1414</v>
      </c>
      <c r="B943" s="217">
        <v>365456527</v>
      </c>
      <c r="C943" s="217">
        <f>C1001</f>
        <v>136679773</v>
      </c>
      <c r="D943" s="217">
        <f>D1001</f>
        <v>150347750.30000001</v>
      </c>
      <c r="E943" s="217">
        <f>E1001</f>
        <v>165382525.33000004</v>
      </c>
    </row>
    <row r="944" spans="1:5" ht="22.05" hidden="1" customHeight="1" outlineLevel="1">
      <c r="A944" s="214" t="s">
        <v>1415</v>
      </c>
      <c r="B944" s="215">
        <v>482825108</v>
      </c>
      <c r="C944" s="215">
        <f>SUM(C942:C943)</f>
        <v>267550649</v>
      </c>
      <c r="D944" s="215">
        <f>SUM(D942:D943)</f>
        <v>294305713.90000004</v>
      </c>
      <c r="E944" s="215">
        <f>SUM(E942:E943)</f>
        <v>323736285.29000008</v>
      </c>
    </row>
    <row r="945" spans="1:5" ht="22.05" hidden="1" customHeight="1" outlineLevel="1">
      <c r="A945" s="212" t="s">
        <v>1416</v>
      </c>
      <c r="B945" s="217">
        <v>30994796</v>
      </c>
      <c r="C945" s="217">
        <f>C1014</f>
        <v>38671383</v>
      </c>
      <c r="D945" s="217">
        <f>D1014</f>
        <v>42538521.300000004</v>
      </c>
      <c r="E945" s="217">
        <f>E1014</f>
        <v>46792373.430000007</v>
      </c>
    </row>
    <row r="946" spans="1:5" s="201" customFormat="1" ht="22.05" hidden="1" customHeight="1" outlineLevel="1">
      <c r="A946" s="212" t="s">
        <v>1417</v>
      </c>
      <c r="B946" s="217">
        <v>23447577</v>
      </c>
      <c r="C946" s="217">
        <f>C1026</f>
        <v>25076361</v>
      </c>
      <c r="D946" s="217">
        <f>D1026</f>
        <v>27583997.100000001</v>
      </c>
      <c r="E946" s="217">
        <f>E1026</f>
        <v>30342396.810000002</v>
      </c>
    </row>
    <row r="947" spans="1:5" ht="22.05" hidden="1" customHeight="1" outlineLevel="1">
      <c r="A947" s="214" t="s">
        <v>1418</v>
      </c>
      <c r="B947" s="215">
        <v>54442373</v>
      </c>
      <c r="C947" s="215">
        <f>SUM(C945:C946)</f>
        <v>63747744</v>
      </c>
      <c r="D947" s="215">
        <f>SUM(D945:D946)</f>
        <v>70122518.400000006</v>
      </c>
      <c r="E947" s="215">
        <f>SUM(E945:E946)</f>
        <v>77134770.24000001</v>
      </c>
    </row>
    <row r="948" spans="1:5" ht="22.05" hidden="1" customHeight="1" outlineLevel="1">
      <c r="A948" s="218" t="s">
        <v>1419</v>
      </c>
      <c r="B948" s="215">
        <v>655320644</v>
      </c>
      <c r="C948" s="215">
        <f>C947+C944+C941</f>
        <v>436120111</v>
      </c>
      <c r="D948" s="215">
        <f>D947+D944+D941</f>
        <v>479732122.10000008</v>
      </c>
      <c r="E948" s="215">
        <f>E947+E944+E941</f>
        <v>527705334.31000012</v>
      </c>
    </row>
    <row r="949" spans="1:5" s="201" customFormat="1" ht="22.05" hidden="1" customHeight="1" outlineLevel="1">
      <c r="A949" s="237"/>
      <c r="B949" s="208"/>
      <c r="C949" s="208"/>
      <c r="D949" s="208"/>
      <c r="E949" s="208"/>
    </row>
    <row r="950" spans="1:5" ht="22.05" hidden="1" customHeight="1" outlineLevel="1">
      <c r="A950" s="237"/>
    </row>
    <row r="951" spans="1:5" ht="22.05" hidden="1" customHeight="1" outlineLevel="1">
      <c r="A951" s="201" t="s">
        <v>1323</v>
      </c>
      <c r="B951" s="208"/>
      <c r="C951" s="208"/>
      <c r="D951" s="208"/>
      <c r="E951" s="208"/>
    </row>
    <row r="952" spans="1:5" s="201" customFormat="1" ht="22.05" hidden="1" customHeight="1" outlineLevel="1">
      <c r="A952" s="210" t="s">
        <v>1287</v>
      </c>
      <c r="B952" s="822" t="s">
        <v>1257</v>
      </c>
      <c r="C952" s="822" t="s">
        <v>1258</v>
      </c>
      <c r="D952" s="824" t="s">
        <v>1259</v>
      </c>
      <c r="E952" s="825"/>
    </row>
    <row r="953" spans="1:5" s="201" customFormat="1" ht="22.05" hidden="1" customHeight="1" outlineLevel="1">
      <c r="A953" s="211"/>
      <c r="B953" s="823"/>
      <c r="C953" s="823"/>
      <c r="D953" s="788" t="s">
        <v>1260</v>
      </c>
      <c r="E953" s="788" t="s">
        <v>1261</v>
      </c>
    </row>
    <row r="954" spans="1:5" ht="22.05" hidden="1" customHeight="1" outlineLevel="1">
      <c r="A954" s="218" t="s">
        <v>1298</v>
      </c>
      <c r="B954" s="215">
        <v>212994894</v>
      </c>
      <c r="C954" s="215">
        <f>SUM(C955:C957)</f>
        <v>243765901</v>
      </c>
      <c r="D954" s="215">
        <f>SUM(D955:D957)</f>
        <v>268142491.10000002</v>
      </c>
      <c r="E954" s="215">
        <f>SUM(E955:E957)</f>
        <v>294956740.21000004</v>
      </c>
    </row>
    <row r="955" spans="1:5" ht="22.05" hidden="1" customHeight="1" outlineLevel="1">
      <c r="A955" s="224" t="s">
        <v>1288</v>
      </c>
      <c r="B955" s="217">
        <v>86850458</v>
      </c>
      <c r="C955" s="217">
        <f>C969+C983+C995+C1008+C1020</f>
        <v>86850458</v>
      </c>
      <c r="D955" s="217">
        <f t="shared" ref="D955:E960" si="366">D969+D983+D995+D1008+D1020</f>
        <v>95535503.800000012</v>
      </c>
      <c r="E955" s="217">
        <f t="shared" si="366"/>
        <v>105089054.18000002</v>
      </c>
    </row>
    <row r="956" spans="1:5" s="201" customFormat="1" ht="22.05" hidden="1" customHeight="1" outlineLevel="1">
      <c r="A956" s="224" t="s">
        <v>1289</v>
      </c>
      <c r="B956" s="217">
        <v>115476954</v>
      </c>
      <c r="C956" s="217">
        <f t="shared" ref="C956:C957" si="367">C970+C984+C996+C1009+C1021</f>
        <v>147803176</v>
      </c>
      <c r="D956" s="217">
        <f t="shared" si="366"/>
        <v>162583493.60000002</v>
      </c>
      <c r="E956" s="217">
        <f t="shared" si="366"/>
        <v>178841842.96000004</v>
      </c>
    </row>
    <row r="957" spans="1:5" ht="22.05" hidden="1" customHeight="1" outlineLevel="1">
      <c r="A957" s="224" t="s">
        <v>1290</v>
      </c>
      <c r="B957" s="217">
        <v>10667482</v>
      </c>
      <c r="C957" s="217">
        <f t="shared" si="367"/>
        <v>9112267</v>
      </c>
      <c r="D957" s="217">
        <f t="shared" si="366"/>
        <v>10023493.700000001</v>
      </c>
      <c r="E957" s="217">
        <f t="shared" si="366"/>
        <v>11025843.07</v>
      </c>
    </row>
    <row r="958" spans="1:5" s="201" customFormat="1" ht="22.05" hidden="1" customHeight="1" outlineLevel="1">
      <c r="A958" s="218" t="s">
        <v>1291</v>
      </c>
      <c r="B958" s="215">
        <v>442325750</v>
      </c>
      <c r="C958" s="215">
        <f>C959+C960</f>
        <v>192354210</v>
      </c>
      <c r="D958" s="215">
        <f t="shared" si="366"/>
        <v>211589631</v>
      </c>
      <c r="E958" s="215">
        <f t="shared" si="366"/>
        <v>232748594.10000002</v>
      </c>
    </row>
    <row r="959" spans="1:5" ht="22.05" hidden="1" customHeight="1" outlineLevel="1">
      <c r="A959" s="224" t="s">
        <v>1292</v>
      </c>
      <c r="B959" s="217">
        <v>442325750</v>
      </c>
      <c r="C959" s="217">
        <f>C973+C987+C999+C1012+C1024</f>
        <v>192354210</v>
      </c>
      <c r="D959" s="217">
        <f t="shared" si="366"/>
        <v>211589631</v>
      </c>
      <c r="E959" s="217">
        <f t="shared" si="366"/>
        <v>232748594.10000002</v>
      </c>
    </row>
    <row r="960" spans="1:5" ht="22.05" hidden="1" customHeight="1" outlineLevel="1">
      <c r="A960" s="224" t="s">
        <v>1293</v>
      </c>
      <c r="B960" s="217">
        <v>0</v>
      </c>
      <c r="C960" s="217">
        <f>C974+C988+C1000+C1013+C1025</f>
        <v>0</v>
      </c>
      <c r="D960" s="217">
        <f t="shared" si="366"/>
        <v>0</v>
      </c>
      <c r="E960" s="217">
        <f t="shared" si="366"/>
        <v>0</v>
      </c>
    </row>
    <row r="961" spans="1:5" s="201" customFormat="1" ht="22.05" hidden="1" customHeight="1" outlineLevel="1">
      <c r="A961" s="218" t="s">
        <v>1294</v>
      </c>
      <c r="B961" s="215">
        <v>655320644</v>
      </c>
      <c r="C961" s="215">
        <f>C958+C954</f>
        <v>436120111</v>
      </c>
      <c r="D961" s="215">
        <f>D958+D954</f>
        <v>479732122.10000002</v>
      </c>
      <c r="E961" s="215">
        <f>E958+E954</f>
        <v>527705334.31000006</v>
      </c>
    </row>
    <row r="962" spans="1:5" ht="22.05" hidden="1" customHeight="1" outlineLevel="1">
      <c r="A962" s="237"/>
    </row>
    <row r="963" spans="1:5" ht="22.05" hidden="1" customHeight="1" outlineLevel="1">
      <c r="A963" s="237"/>
    </row>
    <row r="964" spans="1:5" s="201" customFormat="1" ht="22.05" hidden="1" customHeight="1" outlineLevel="1">
      <c r="A964" s="201" t="s">
        <v>1420</v>
      </c>
      <c r="B964" s="206"/>
      <c r="C964" s="206"/>
      <c r="D964" s="206"/>
      <c r="E964" s="206"/>
    </row>
    <row r="965" spans="1:5" s="201" customFormat="1" ht="22.05" hidden="1" customHeight="1" outlineLevel="1">
      <c r="A965" s="205" t="s">
        <v>1421</v>
      </c>
      <c r="B965" s="206"/>
      <c r="C965" s="206"/>
      <c r="D965" s="206"/>
      <c r="E965" s="206"/>
    </row>
    <row r="966" spans="1:5" s="201" customFormat="1" ht="22.05" hidden="1" customHeight="1" outlineLevel="1">
      <c r="A966" s="210" t="s">
        <v>1287</v>
      </c>
      <c r="B966" s="822" t="s">
        <v>1257</v>
      </c>
      <c r="C966" s="822" t="s">
        <v>1258</v>
      </c>
      <c r="D966" s="824" t="s">
        <v>1259</v>
      </c>
      <c r="E966" s="825"/>
    </row>
    <row r="967" spans="1:5" s="201" customFormat="1" ht="22.05" hidden="1" customHeight="1" outlineLevel="1">
      <c r="A967" s="211"/>
      <c r="B967" s="823"/>
      <c r="C967" s="823"/>
      <c r="D967" s="788" t="s">
        <v>1260</v>
      </c>
      <c r="E967" s="788" t="s">
        <v>1261</v>
      </c>
    </row>
    <row r="968" spans="1:5" s="201" customFormat="1" ht="22.05" hidden="1" customHeight="1" outlineLevel="1">
      <c r="A968" s="218" t="s">
        <v>1298</v>
      </c>
      <c r="B968" s="215">
        <v>118053163</v>
      </c>
      <c r="C968" s="215">
        <f>SUM(C969:C971)</f>
        <v>104821718</v>
      </c>
      <c r="D968" s="215">
        <f>SUM(D969:D971)</f>
        <v>115303889.80000001</v>
      </c>
      <c r="E968" s="215">
        <f>SUM(E969:E971)</f>
        <v>126834278.78000003</v>
      </c>
    </row>
    <row r="969" spans="1:5" ht="22.05" hidden="1" customHeight="1" outlineLevel="1">
      <c r="A969" s="224" t="s">
        <v>1288</v>
      </c>
      <c r="B969" s="217">
        <v>86850458</v>
      </c>
      <c r="C969" s="217">
        <f>'Itemized Budget 2026-27'!E2229</f>
        <v>86850458</v>
      </c>
      <c r="D969" s="217">
        <f>C969*1.1</f>
        <v>95535503.800000012</v>
      </c>
      <c r="E969" s="217">
        <f>D969*1.1</f>
        <v>105089054.18000002</v>
      </c>
    </row>
    <row r="970" spans="1:5" s="201" customFormat="1" ht="22.05" hidden="1" customHeight="1" outlineLevel="1">
      <c r="A970" s="224" t="s">
        <v>1289</v>
      </c>
      <c r="B970" s="217">
        <v>29137490</v>
      </c>
      <c r="C970" s="217">
        <f>'Itemized Budget 2026-27'!E2285-'Itemized Budget 2026-27'!E2283-'Itemized Budget 2026-27'!E2280-'Itemized Budget 2026-27'!E2229</f>
        <v>14481260</v>
      </c>
      <c r="D970" s="217">
        <f t="shared" ref="D970:E970" si="368">C970*1.1</f>
        <v>15929386.000000002</v>
      </c>
      <c r="E970" s="217">
        <f t="shared" si="368"/>
        <v>17522324.600000005</v>
      </c>
    </row>
    <row r="971" spans="1:5" ht="22.05" hidden="1" customHeight="1" outlineLevel="1">
      <c r="A971" s="224" t="s">
        <v>1290</v>
      </c>
      <c r="B971" s="217">
        <v>2065215</v>
      </c>
      <c r="C971" s="217">
        <f>'Itemized Budget 2026-27'!E2283+'Itemized Budget 2026-27'!E2280</f>
        <v>3490000</v>
      </c>
      <c r="D971" s="217">
        <f t="shared" ref="D971:E971" si="369">C971*1.1</f>
        <v>3839000.0000000005</v>
      </c>
      <c r="E971" s="217">
        <f t="shared" si="369"/>
        <v>4222900.0000000009</v>
      </c>
    </row>
    <row r="972" spans="1:5" ht="22.05" hidden="1" customHeight="1" outlineLevel="1">
      <c r="A972" s="218" t="s">
        <v>1291</v>
      </c>
      <c r="B972" s="215">
        <v>0</v>
      </c>
      <c r="C972" s="215">
        <f>SUM(C973:C974)</f>
        <v>0</v>
      </c>
      <c r="D972" s="215">
        <f t="shared" ref="D972:E972" si="370">SUM(D973:D974)</f>
        <v>0</v>
      </c>
      <c r="E972" s="215">
        <f t="shared" si="370"/>
        <v>0</v>
      </c>
    </row>
    <row r="973" spans="1:5" s="201" customFormat="1" ht="22.05" hidden="1" customHeight="1" outlineLevel="1">
      <c r="A973" s="224" t="s">
        <v>1299</v>
      </c>
      <c r="B973" s="217"/>
      <c r="C973" s="217"/>
      <c r="D973" s="217">
        <f t="shared" ref="D973:E973" si="371">C973*1.1</f>
        <v>0</v>
      </c>
      <c r="E973" s="217">
        <f t="shared" si="371"/>
        <v>0</v>
      </c>
    </row>
    <row r="974" spans="1:5" ht="22.05" hidden="1" customHeight="1" outlineLevel="1">
      <c r="A974" s="224" t="s">
        <v>1422</v>
      </c>
      <c r="B974" s="217">
        <v>0</v>
      </c>
      <c r="C974" s="217">
        <v>0</v>
      </c>
      <c r="D974" s="217">
        <f t="shared" ref="D974:E974" si="372">C974*1.1</f>
        <v>0</v>
      </c>
      <c r="E974" s="217">
        <f t="shared" si="372"/>
        <v>0</v>
      </c>
    </row>
    <row r="975" spans="1:5" ht="22.05" hidden="1" customHeight="1" outlineLevel="1">
      <c r="A975" s="218" t="s">
        <v>1301</v>
      </c>
      <c r="B975" s="215">
        <v>118053163</v>
      </c>
      <c r="C975" s="215">
        <f>C972+C968</f>
        <v>104821718</v>
      </c>
      <c r="D975" s="215">
        <f>D972+D968</f>
        <v>115303889.80000001</v>
      </c>
      <c r="E975" s="215">
        <f>E972+E968</f>
        <v>126834278.78000003</v>
      </c>
    </row>
    <row r="976" spans="1:5" ht="22.05" hidden="1" customHeight="1" outlineLevel="1"/>
    <row r="977" spans="1:5" s="201" customFormat="1" ht="22.05" hidden="1" customHeight="1" outlineLevel="1">
      <c r="A977" s="205"/>
      <c r="B977" s="206"/>
      <c r="C977" s="206"/>
      <c r="D977" s="206"/>
      <c r="E977" s="206"/>
    </row>
    <row r="978" spans="1:5" ht="22.05" hidden="1" customHeight="1" outlineLevel="1">
      <c r="A978" s="201" t="s">
        <v>1423</v>
      </c>
    </row>
    <row r="979" spans="1:5" ht="22.05" hidden="1" customHeight="1" outlineLevel="1">
      <c r="A979" s="205" t="s">
        <v>1424</v>
      </c>
    </row>
    <row r="980" spans="1:5" ht="22.05" hidden="1" customHeight="1" outlineLevel="1">
      <c r="A980" s="210" t="s">
        <v>1287</v>
      </c>
      <c r="B980" s="822" t="s">
        <v>1257</v>
      </c>
      <c r="C980" s="822" t="s">
        <v>1258</v>
      </c>
      <c r="D980" s="824" t="s">
        <v>1259</v>
      </c>
      <c r="E980" s="825"/>
    </row>
    <row r="981" spans="1:5" ht="22.05" hidden="1" customHeight="1" outlineLevel="1">
      <c r="A981" s="211"/>
      <c r="B981" s="823"/>
      <c r="C981" s="823"/>
      <c r="D981" s="788" t="s">
        <v>1260</v>
      </c>
      <c r="E981" s="788" t="s">
        <v>1261</v>
      </c>
    </row>
    <row r="982" spans="1:5" s="201" customFormat="1" ht="22.05" hidden="1" customHeight="1" outlineLevel="1">
      <c r="A982" s="218" t="s">
        <v>1298</v>
      </c>
      <c r="B982" s="215">
        <v>24568581</v>
      </c>
      <c r="C982" s="215">
        <f>SUM(C983:C985)</f>
        <v>11870876</v>
      </c>
      <c r="D982" s="215">
        <f>SUM(D983:D985)</f>
        <v>13057963.600000001</v>
      </c>
      <c r="E982" s="215">
        <f>SUM(E983:E985)</f>
        <v>14363759.960000001</v>
      </c>
    </row>
    <row r="983" spans="1:5" ht="22.05" hidden="1" customHeight="1" outlineLevel="1">
      <c r="A983" s="224" t="s">
        <v>1288</v>
      </c>
      <c r="B983" s="217"/>
      <c r="C983" s="217"/>
      <c r="D983" s="217">
        <f t="shared" ref="D983:E983" si="373">C983*1.1</f>
        <v>0</v>
      </c>
      <c r="E983" s="217">
        <f t="shared" si="373"/>
        <v>0</v>
      </c>
    </row>
    <row r="984" spans="1:5" s="201" customFormat="1" ht="22.05" hidden="1" customHeight="1" outlineLevel="1">
      <c r="A984" s="224" t="s">
        <v>1289</v>
      </c>
      <c r="B984" s="217">
        <v>22322314</v>
      </c>
      <c r="C984" s="217">
        <f>'Itemized Budget 2026-27'!E2324-'Itemized Budget 2026-27'!E2322-'Itemized Budget 2026-27'!E2319</f>
        <v>9424609</v>
      </c>
      <c r="D984" s="217">
        <f t="shared" ref="D984:E984" si="374">C984*1.1</f>
        <v>10367069.9</v>
      </c>
      <c r="E984" s="217">
        <f t="shared" si="374"/>
        <v>11403776.890000001</v>
      </c>
    </row>
    <row r="985" spans="1:5" ht="22.05" hidden="1" customHeight="1" outlineLevel="1">
      <c r="A985" s="224" t="s">
        <v>1290</v>
      </c>
      <c r="B985" s="217">
        <v>2246267</v>
      </c>
      <c r="C985" s="217">
        <f>'Itemized Budget 2026-27'!E2319+'Itemized Budget 2026-27'!E2322</f>
        <v>2446267</v>
      </c>
      <c r="D985" s="217">
        <f t="shared" ref="D985:E985" si="375">C985*1.1</f>
        <v>2690893.7</v>
      </c>
      <c r="E985" s="217">
        <f t="shared" si="375"/>
        <v>2959983.0700000003</v>
      </c>
    </row>
    <row r="986" spans="1:5" ht="22.05" hidden="1" customHeight="1" outlineLevel="1">
      <c r="A986" s="218" t="s">
        <v>1291</v>
      </c>
      <c r="B986" s="215">
        <v>92800000</v>
      </c>
      <c r="C986" s="215">
        <f>SUM(C987:C988)</f>
        <v>119000000</v>
      </c>
      <c r="D986" s="215">
        <f t="shared" ref="D986:E986" si="376">SUM(D987:D988)</f>
        <v>130900000.00000001</v>
      </c>
      <c r="E986" s="215">
        <f t="shared" si="376"/>
        <v>143990000.00000003</v>
      </c>
    </row>
    <row r="987" spans="1:5" s="201" customFormat="1" ht="22.05" hidden="1" customHeight="1" outlineLevel="1">
      <c r="A987" s="224" t="s">
        <v>1299</v>
      </c>
      <c r="B987" s="217">
        <v>92800000</v>
      </c>
      <c r="C987" s="217">
        <f>'Itemized Budget 2026-27'!E2338</f>
        <v>119000000</v>
      </c>
      <c r="D987" s="217">
        <f t="shared" ref="D987:E987" si="377">C987*1.1</f>
        <v>130900000.00000001</v>
      </c>
      <c r="E987" s="217">
        <f t="shared" si="377"/>
        <v>143990000.00000003</v>
      </c>
    </row>
    <row r="988" spans="1:5" ht="22.05" hidden="1" customHeight="1" outlineLevel="1">
      <c r="A988" s="224" t="s">
        <v>1422</v>
      </c>
      <c r="B988" s="217"/>
      <c r="C988" s="217"/>
      <c r="D988" s="217">
        <f t="shared" ref="D988:E988" si="378">C988*1.1</f>
        <v>0</v>
      </c>
      <c r="E988" s="217">
        <f t="shared" si="378"/>
        <v>0</v>
      </c>
    </row>
    <row r="989" spans="1:5" s="201" customFormat="1" ht="22.05" hidden="1" customHeight="1" outlineLevel="1">
      <c r="A989" s="218" t="s">
        <v>1301</v>
      </c>
      <c r="B989" s="215">
        <v>117368581</v>
      </c>
      <c r="C989" s="215">
        <f>C986+C982</f>
        <v>130870876</v>
      </c>
      <c r="D989" s="215">
        <f>D986+D982</f>
        <v>143957963.60000002</v>
      </c>
      <c r="E989" s="215">
        <f>E986+E982</f>
        <v>158353759.96000004</v>
      </c>
    </row>
    <row r="990" spans="1:5" ht="22.05" hidden="1" customHeight="1" outlineLevel="1"/>
    <row r="991" spans="1:5" s="201" customFormat="1" ht="22.05" hidden="1" customHeight="1" outlineLevel="1">
      <c r="A991" s="201" t="s">
        <v>1425</v>
      </c>
      <c r="B991" s="206"/>
      <c r="C991" s="206"/>
      <c r="D991" s="206"/>
      <c r="E991" s="206"/>
    </row>
    <row r="992" spans="1:5" s="201" customFormat="1" ht="22.05" hidden="1" customHeight="1" outlineLevel="1">
      <c r="A992" s="210" t="s">
        <v>1287</v>
      </c>
      <c r="B992" s="822" t="s">
        <v>1257</v>
      </c>
      <c r="C992" s="822" t="s">
        <v>1258</v>
      </c>
      <c r="D992" s="824" t="s">
        <v>1259</v>
      </c>
      <c r="E992" s="825"/>
    </row>
    <row r="993" spans="1:5" s="201" customFormat="1" ht="22.05" hidden="1" customHeight="1" outlineLevel="1">
      <c r="A993" s="211"/>
      <c r="B993" s="823"/>
      <c r="C993" s="823"/>
      <c r="D993" s="788" t="s">
        <v>1260</v>
      </c>
      <c r="E993" s="788" t="s">
        <v>1261</v>
      </c>
    </row>
    <row r="994" spans="1:5" ht="22.05" hidden="1" customHeight="1" outlineLevel="1">
      <c r="A994" s="218" t="s">
        <v>1298</v>
      </c>
      <c r="B994" s="215">
        <v>20930777</v>
      </c>
      <c r="C994" s="215">
        <f>SUM(C995:C997)</f>
        <v>63325563</v>
      </c>
      <c r="D994" s="215">
        <f>SUM(D995:D997)</f>
        <v>69658119.300000012</v>
      </c>
      <c r="E994" s="215">
        <f>SUM(E995:E997)</f>
        <v>76623931.230000019</v>
      </c>
    </row>
    <row r="995" spans="1:5" s="201" customFormat="1" ht="22.05" hidden="1" customHeight="1" outlineLevel="1">
      <c r="A995" s="224" t="s">
        <v>1288</v>
      </c>
      <c r="B995" s="217"/>
      <c r="C995" s="217"/>
      <c r="D995" s="217">
        <f t="shared" ref="D995:E995" si="379">C995*1.1</f>
        <v>0</v>
      </c>
      <c r="E995" s="217">
        <f t="shared" si="379"/>
        <v>0</v>
      </c>
    </row>
    <row r="996" spans="1:5" ht="22.05" hidden="1" customHeight="1" outlineLevel="1">
      <c r="A996" s="224" t="s">
        <v>1289</v>
      </c>
      <c r="B996" s="217">
        <v>19360777</v>
      </c>
      <c r="C996" s="217">
        <f>'Itemized Budget 2026-27'!E2379</f>
        <v>63325563</v>
      </c>
      <c r="D996" s="217">
        <f t="shared" ref="D996:E996" si="380">C996*1.1</f>
        <v>69658119.300000012</v>
      </c>
      <c r="E996" s="217">
        <f t="shared" si="380"/>
        <v>76623931.230000019</v>
      </c>
    </row>
    <row r="997" spans="1:5" s="201" customFormat="1" ht="22.05" hidden="1" customHeight="1" outlineLevel="1">
      <c r="A997" s="224" t="s">
        <v>1290</v>
      </c>
      <c r="B997" s="217">
        <v>1570000</v>
      </c>
      <c r="C997" s="217"/>
      <c r="D997" s="217">
        <f t="shared" ref="D997:E997" si="381">C997*1.1</f>
        <v>0</v>
      </c>
      <c r="E997" s="217">
        <f t="shared" si="381"/>
        <v>0</v>
      </c>
    </row>
    <row r="998" spans="1:5" ht="22.05" hidden="1" customHeight="1" outlineLevel="1">
      <c r="A998" s="218" t="s">
        <v>1291</v>
      </c>
      <c r="B998" s="215">
        <v>344525750</v>
      </c>
      <c r="C998" s="215">
        <f>SUM(C999:C1000)</f>
        <v>73354210</v>
      </c>
      <c r="D998" s="215">
        <f t="shared" ref="D998:E998" si="382">SUM(D999:D1000)</f>
        <v>80689631</v>
      </c>
      <c r="E998" s="215">
        <f t="shared" si="382"/>
        <v>88758594.100000009</v>
      </c>
    </row>
    <row r="999" spans="1:5" s="201" customFormat="1" ht="22.05" hidden="1" customHeight="1" outlineLevel="1">
      <c r="A999" s="224" t="s">
        <v>1299</v>
      </c>
      <c r="B999" s="217">
        <v>344525750</v>
      </c>
      <c r="C999" s="217">
        <f>'Itemized Budget 2026-27'!E2398</f>
        <v>73354210</v>
      </c>
      <c r="D999" s="217">
        <f t="shared" ref="D999:E999" si="383">C999*1.1</f>
        <v>80689631</v>
      </c>
      <c r="E999" s="217">
        <f t="shared" si="383"/>
        <v>88758594.100000009</v>
      </c>
    </row>
    <row r="1000" spans="1:5" ht="22.05" hidden="1" customHeight="1" outlineLevel="1">
      <c r="A1000" s="224" t="s">
        <v>1422</v>
      </c>
      <c r="B1000" s="217">
        <v>0</v>
      </c>
      <c r="C1000" s="217">
        <v>0</v>
      </c>
      <c r="D1000" s="217">
        <f t="shared" ref="D1000:E1000" si="384">C1000*1.1</f>
        <v>0</v>
      </c>
      <c r="E1000" s="217">
        <f t="shared" si="384"/>
        <v>0</v>
      </c>
    </row>
    <row r="1001" spans="1:5" s="201" customFormat="1" ht="22.05" hidden="1" customHeight="1" outlineLevel="1">
      <c r="A1001" s="218" t="s">
        <v>1301</v>
      </c>
      <c r="B1001" s="215">
        <v>365456527</v>
      </c>
      <c r="C1001" s="215">
        <f>C998+C994</f>
        <v>136679773</v>
      </c>
      <c r="D1001" s="215">
        <f>D998+D994</f>
        <v>150347750.30000001</v>
      </c>
      <c r="E1001" s="215">
        <f>E998+E994</f>
        <v>165382525.33000004</v>
      </c>
    </row>
    <row r="1002" spans="1:5" ht="22.05" hidden="1" customHeight="1" outlineLevel="1"/>
    <row r="1003" spans="1:5" ht="22.05" hidden="1" customHeight="1" outlineLevel="1">
      <c r="A1003" s="201" t="s">
        <v>1426</v>
      </c>
    </row>
    <row r="1004" spans="1:5" s="201" customFormat="1" ht="22.05" hidden="1" customHeight="1" outlineLevel="1">
      <c r="A1004" s="201" t="s">
        <v>1427</v>
      </c>
      <c r="B1004" s="206"/>
      <c r="C1004" s="206"/>
      <c r="D1004" s="206"/>
      <c r="E1004" s="206"/>
    </row>
    <row r="1005" spans="1:5" s="201" customFormat="1" ht="22.05" hidden="1" customHeight="1" outlineLevel="1">
      <c r="A1005" s="210" t="s">
        <v>1287</v>
      </c>
      <c r="B1005" s="822" t="s">
        <v>1257</v>
      </c>
      <c r="C1005" s="822" t="s">
        <v>1258</v>
      </c>
      <c r="D1005" s="824" t="s">
        <v>1259</v>
      </c>
      <c r="E1005" s="825"/>
    </row>
    <row r="1006" spans="1:5" s="201" customFormat="1" ht="22.05" hidden="1" customHeight="1" outlineLevel="1">
      <c r="A1006" s="211"/>
      <c r="B1006" s="823"/>
      <c r="C1006" s="823"/>
      <c r="D1006" s="788" t="s">
        <v>1260</v>
      </c>
      <c r="E1006" s="788" t="s">
        <v>1261</v>
      </c>
    </row>
    <row r="1007" spans="1:5" s="201" customFormat="1" ht="22.05" hidden="1" customHeight="1" outlineLevel="1">
      <c r="A1007" s="218" t="s">
        <v>1298</v>
      </c>
      <c r="B1007" s="215">
        <v>30994796</v>
      </c>
      <c r="C1007" s="215">
        <f>SUM(C1008:C1010)</f>
        <v>38671383</v>
      </c>
      <c r="D1007" s="215">
        <f>SUM(D1008:D1010)</f>
        <v>42538521.300000004</v>
      </c>
      <c r="E1007" s="215">
        <f>SUM(E1008:E1010)</f>
        <v>46792373.430000007</v>
      </c>
    </row>
    <row r="1008" spans="1:5" s="201" customFormat="1" ht="22.05" hidden="1" customHeight="1" outlineLevel="1">
      <c r="A1008" s="224" t="s">
        <v>1288</v>
      </c>
      <c r="B1008" s="217"/>
      <c r="C1008" s="217"/>
      <c r="D1008" s="217">
        <f t="shared" ref="D1008:E1008" si="385">C1008*1.1</f>
        <v>0</v>
      </c>
      <c r="E1008" s="217">
        <f t="shared" si="385"/>
        <v>0</v>
      </c>
    </row>
    <row r="1009" spans="1:5" s="201" customFormat="1" ht="22.05" hidden="1" customHeight="1" outlineLevel="1">
      <c r="A1009" s="224" t="s">
        <v>1289</v>
      </c>
      <c r="B1009" s="217">
        <v>28448796</v>
      </c>
      <c r="C1009" s="217">
        <f>'Itemized Budget 2026-27'!E2441-'Itemized Budget 2026-27'!E2438</f>
        <v>36375383</v>
      </c>
      <c r="D1009" s="217">
        <f t="shared" ref="D1009:E1009" si="386">C1009*1.1</f>
        <v>40012921.300000004</v>
      </c>
      <c r="E1009" s="217">
        <f t="shared" si="386"/>
        <v>44014213.430000007</v>
      </c>
    </row>
    <row r="1010" spans="1:5" s="201" customFormat="1" ht="22.05" hidden="1" customHeight="1" outlineLevel="1">
      <c r="A1010" s="224" t="s">
        <v>1290</v>
      </c>
      <c r="B1010" s="217">
        <v>2546000</v>
      </c>
      <c r="C1010" s="217">
        <f>'Itemized Budget 2026-27'!E2438</f>
        <v>2296000</v>
      </c>
      <c r="D1010" s="217">
        <f t="shared" ref="D1010:E1010" si="387">C1010*1.1</f>
        <v>2525600</v>
      </c>
      <c r="E1010" s="217">
        <f t="shared" si="387"/>
        <v>2778160</v>
      </c>
    </row>
    <row r="1011" spans="1:5" ht="22.05" hidden="1" customHeight="1" outlineLevel="1">
      <c r="A1011" s="218" t="s">
        <v>1291</v>
      </c>
      <c r="B1011" s="215">
        <v>0</v>
      </c>
      <c r="C1011" s="215">
        <f>SUM(C1012:C1013)</f>
        <v>0</v>
      </c>
      <c r="D1011" s="215">
        <f t="shared" ref="D1011:E1011" si="388">SUM(D1012:D1013)</f>
        <v>0</v>
      </c>
      <c r="E1011" s="215">
        <f t="shared" si="388"/>
        <v>0</v>
      </c>
    </row>
    <row r="1012" spans="1:5" s="201" customFormat="1" ht="22.05" hidden="1" customHeight="1" outlineLevel="1">
      <c r="A1012" s="224" t="s">
        <v>1299</v>
      </c>
      <c r="B1012" s="217"/>
      <c r="C1012" s="217"/>
      <c r="D1012" s="217">
        <f t="shared" ref="D1012:E1012" si="389">C1012*1.1</f>
        <v>0</v>
      </c>
      <c r="E1012" s="217">
        <f t="shared" si="389"/>
        <v>0</v>
      </c>
    </row>
    <row r="1013" spans="1:5" ht="22.05" hidden="1" customHeight="1" outlineLevel="1">
      <c r="A1013" s="224" t="s">
        <v>1422</v>
      </c>
      <c r="B1013" s="217"/>
      <c r="C1013" s="217"/>
      <c r="D1013" s="217">
        <f t="shared" ref="D1013:E1013" si="390">C1013*1.1</f>
        <v>0</v>
      </c>
      <c r="E1013" s="217">
        <f t="shared" si="390"/>
        <v>0</v>
      </c>
    </row>
    <row r="1014" spans="1:5" ht="22.05" hidden="1" customHeight="1" outlineLevel="1">
      <c r="A1014" s="218" t="s">
        <v>1301</v>
      </c>
      <c r="B1014" s="215">
        <v>30994796</v>
      </c>
      <c r="C1014" s="215">
        <f>C1011+C1007</f>
        <v>38671383</v>
      </c>
      <c r="D1014" s="215">
        <f>D1011+D1007</f>
        <v>42538521.300000004</v>
      </c>
      <c r="E1014" s="215">
        <f>E1011+E1007</f>
        <v>46792373.430000007</v>
      </c>
    </row>
    <row r="1015" spans="1:5" s="201" customFormat="1" ht="22.05" hidden="1" customHeight="1" outlineLevel="1">
      <c r="A1015" s="205"/>
      <c r="B1015" s="206"/>
      <c r="C1015" s="206"/>
      <c r="D1015" s="206"/>
      <c r="E1015" s="206"/>
    </row>
    <row r="1016" spans="1:5" ht="22.05" hidden="1" customHeight="1" outlineLevel="1">
      <c r="A1016" s="201" t="s">
        <v>1428</v>
      </c>
    </row>
    <row r="1017" spans="1:5" ht="22.05" hidden="1" customHeight="1" outlineLevel="1">
      <c r="A1017" s="210" t="s">
        <v>1287</v>
      </c>
      <c r="B1017" s="822" t="s">
        <v>1257</v>
      </c>
      <c r="C1017" s="822" t="s">
        <v>1258</v>
      </c>
      <c r="D1017" s="824" t="s">
        <v>1259</v>
      </c>
      <c r="E1017" s="825"/>
    </row>
    <row r="1018" spans="1:5" ht="22.05" hidden="1" customHeight="1" outlineLevel="1">
      <c r="A1018" s="211"/>
      <c r="B1018" s="823"/>
      <c r="C1018" s="823"/>
      <c r="D1018" s="788" t="s">
        <v>1260</v>
      </c>
      <c r="E1018" s="788" t="s">
        <v>1261</v>
      </c>
    </row>
    <row r="1019" spans="1:5" ht="22.05" hidden="1" customHeight="1" outlineLevel="1">
      <c r="A1019" s="218" t="s">
        <v>1298</v>
      </c>
      <c r="B1019" s="215">
        <v>18447577</v>
      </c>
      <c r="C1019" s="215">
        <f>SUM(C1020:C1022)</f>
        <v>25076361</v>
      </c>
      <c r="D1019" s="215">
        <f>SUM(D1020:D1022)</f>
        <v>27583997.100000001</v>
      </c>
      <c r="E1019" s="215">
        <f>SUM(E1020:E1022)</f>
        <v>30342396.810000002</v>
      </c>
    </row>
    <row r="1020" spans="1:5" s="201" customFormat="1" ht="22.05" hidden="1" customHeight="1" outlineLevel="1">
      <c r="A1020" s="224" t="s">
        <v>1288</v>
      </c>
      <c r="B1020" s="217"/>
      <c r="C1020" s="217"/>
      <c r="D1020" s="217">
        <f t="shared" ref="D1020:E1020" si="391">C1020*1.1</f>
        <v>0</v>
      </c>
      <c r="E1020" s="217">
        <f t="shared" si="391"/>
        <v>0</v>
      </c>
    </row>
    <row r="1021" spans="1:5" ht="22.05" hidden="1" customHeight="1" outlineLevel="1">
      <c r="A1021" s="224" t="s">
        <v>1289</v>
      </c>
      <c r="B1021" s="217">
        <v>16207577</v>
      </c>
      <c r="C1021" s="217">
        <f>'Itemized Budget 2026-27'!E2475-'Itemized Budget 2026-27'!E2473</f>
        <v>24196361</v>
      </c>
      <c r="D1021" s="217">
        <f t="shared" ref="D1021:E1021" si="392">C1021*1.1</f>
        <v>26615997.100000001</v>
      </c>
      <c r="E1021" s="217">
        <f t="shared" si="392"/>
        <v>29277596.810000002</v>
      </c>
    </row>
    <row r="1022" spans="1:5" ht="22.05" hidden="1" customHeight="1" outlineLevel="1">
      <c r="A1022" s="224" t="s">
        <v>1290</v>
      </c>
      <c r="B1022" s="217">
        <v>2240000</v>
      </c>
      <c r="C1022" s="217">
        <f>'Itemized Budget 2026-27'!E2473</f>
        <v>880000</v>
      </c>
      <c r="D1022" s="217">
        <f t="shared" ref="D1022:E1022" si="393">C1022*1.1</f>
        <v>968000.00000000012</v>
      </c>
      <c r="E1022" s="217">
        <f t="shared" si="393"/>
        <v>1064800.0000000002</v>
      </c>
    </row>
    <row r="1023" spans="1:5" ht="22.05" hidden="1" customHeight="1" outlineLevel="1">
      <c r="A1023" s="218" t="s">
        <v>1291</v>
      </c>
      <c r="B1023" s="215">
        <v>5000000</v>
      </c>
      <c r="C1023" s="215">
        <f>SUM(C1024:C1025)</f>
        <v>0</v>
      </c>
      <c r="D1023" s="215">
        <f t="shared" ref="D1023:E1023" si="394">SUM(D1024:D1025)</f>
        <v>0</v>
      </c>
      <c r="E1023" s="215">
        <f t="shared" si="394"/>
        <v>0</v>
      </c>
    </row>
    <row r="1024" spans="1:5" ht="22.05" hidden="1" customHeight="1" outlineLevel="1">
      <c r="A1024" s="224" t="s">
        <v>1299</v>
      </c>
      <c r="B1024" s="217">
        <v>5000000</v>
      </c>
      <c r="C1024" s="217"/>
      <c r="D1024" s="217">
        <f t="shared" ref="D1024:E1024" si="395">C1024*1.1</f>
        <v>0</v>
      </c>
      <c r="E1024" s="217">
        <f t="shared" si="395"/>
        <v>0</v>
      </c>
    </row>
    <row r="1025" spans="1:5" s="201" customFormat="1" ht="22.05" hidden="1" customHeight="1" outlineLevel="1">
      <c r="A1025" s="224" t="s">
        <v>1422</v>
      </c>
      <c r="B1025" s="217"/>
      <c r="C1025" s="217"/>
      <c r="D1025" s="217">
        <f t="shared" ref="D1025:E1025" si="396">C1025*1.1</f>
        <v>0</v>
      </c>
      <c r="E1025" s="217">
        <f t="shared" si="396"/>
        <v>0</v>
      </c>
    </row>
    <row r="1026" spans="1:5" ht="22.05" hidden="1" customHeight="1" outlineLevel="1">
      <c r="A1026" s="218" t="s">
        <v>1301</v>
      </c>
      <c r="B1026" s="215">
        <v>23447577</v>
      </c>
      <c r="C1026" s="215">
        <f>C1023+C1019</f>
        <v>25076361</v>
      </c>
      <c r="D1026" s="215">
        <f>D1023+D1019</f>
        <v>27583997.100000001</v>
      </c>
      <c r="E1026" s="215">
        <f>E1023+E1019</f>
        <v>30342396.810000002</v>
      </c>
    </row>
    <row r="1027" spans="1:5" ht="22.05" hidden="1" customHeight="1" outlineLevel="1">
      <c r="A1027" s="201"/>
      <c r="B1027" s="208"/>
      <c r="C1027" s="208"/>
      <c r="D1027" s="208"/>
      <c r="E1027" s="208"/>
    </row>
    <row r="1028" spans="1:5" ht="22.05" customHeight="1" collapsed="1">
      <c r="A1028" s="237"/>
    </row>
    <row r="1029" spans="1:5" ht="22.05" customHeight="1">
      <c r="A1029" s="258" t="s">
        <v>1429</v>
      </c>
      <c r="B1029" s="244"/>
      <c r="C1029" s="244"/>
      <c r="D1029" s="209"/>
      <c r="E1029" s="209"/>
    </row>
    <row r="1030" spans="1:5" ht="22.05" hidden="1" customHeight="1" outlineLevel="1">
      <c r="A1030" s="201" t="s">
        <v>1255</v>
      </c>
      <c r="B1030" s="209"/>
      <c r="C1030" s="209"/>
      <c r="D1030" s="209"/>
      <c r="E1030" s="209"/>
    </row>
    <row r="1031" spans="1:5" ht="22.05" hidden="1" customHeight="1" outlineLevel="1">
      <c r="A1031" s="210" t="s">
        <v>1256</v>
      </c>
      <c r="B1031" s="822" t="s">
        <v>1257</v>
      </c>
      <c r="C1031" s="822" t="s">
        <v>1258</v>
      </c>
      <c r="D1031" s="824" t="s">
        <v>1259</v>
      </c>
      <c r="E1031" s="825"/>
    </row>
    <row r="1032" spans="1:5" ht="22.05" hidden="1" customHeight="1" outlineLevel="1">
      <c r="A1032" s="211"/>
      <c r="B1032" s="823"/>
      <c r="C1032" s="823"/>
      <c r="D1032" s="788" t="s">
        <v>1260</v>
      </c>
      <c r="E1032" s="788" t="s">
        <v>1261</v>
      </c>
    </row>
    <row r="1033" spans="1:5" ht="22.05" hidden="1" customHeight="1" outlineLevel="1">
      <c r="A1033" s="212" t="s">
        <v>1430</v>
      </c>
      <c r="B1033" s="243">
        <v>36927009.899999999</v>
      </c>
      <c r="C1033" s="243">
        <f>C1079</f>
        <v>39059143</v>
      </c>
      <c r="D1033" s="243">
        <f t="shared" ref="D1033:E1033" si="397">D1079</f>
        <v>42965057.300000004</v>
      </c>
      <c r="E1033" s="243">
        <f t="shared" si="397"/>
        <v>47261563.030000009</v>
      </c>
    </row>
    <row r="1034" spans="1:5" ht="22.05" hidden="1" customHeight="1" outlineLevel="1">
      <c r="A1034" s="214" t="s">
        <v>205</v>
      </c>
      <c r="B1034" s="240">
        <v>36927009.899999999</v>
      </c>
      <c r="C1034" s="240">
        <f>C1033</f>
        <v>39059143</v>
      </c>
      <c r="D1034" s="240">
        <f t="shared" ref="D1034:E1034" si="398">D1033</f>
        <v>42965057.300000004</v>
      </c>
      <c r="E1034" s="240">
        <f t="shared" si="398"/>
        <v>47261563.030000009</v>
      </c>
    </row>
    <row r="1035" spans="1:5" ht="22.05" hidden="1" customHeight="1" outlineLevel="1">
      <c r="A1035" s="212" t="s">
        <v>1431</v>
      </c>
      <c r="B1035" s="243">
        <v>3636886</v>
      </c>
      <c r="C1035" s="243">
        <f>C1093</f>
        <v>2145371</v>
      </c>
      <c r="D1035" s="243">
        <f t="shared" ref="D1035:E1035" si="399">D1093</f>
        <v>2359908.1</v>
      </c>
      <c r="E1035" s="243">
        <f t="shared" si="399"/>
        <v>2595898.91</v>
      </c>
    </row>
    <row r="1036" spans="1:5" ht="22.05" hidden="1" customHeight="1" outlineLevel="1">
      <c r="A1036" s="241" t="s">
        <v>738</v>
      </c>
      <c r="B1036" s="243">
        <v>4097178</v>
      </c>
      <c r="C1036" s="242">
        <f>C1106</f>
        <v>1492178</v>
      </c>
      <c r="D1036" s="242">
        <f t="shared" ref="D1036:E1036" si="400">D1106</f>
        <v>1641395.8</v>
      </c>
      <c r="E1036" s="242">
        <f t="shared" si="400"/>
        <v>1805535.3800000001</v>
      </c>
    </row>
    <row r="1037" spans="1:5" ht="22.05" hidden="1" customHeight="1" outlineLevel="1">
      <c r="A1037" s="241" t="s">
        <v>1432</v>
      </c>
      <c r="B1037" s="242">
        <v>468632099.185045</v>
      </c>
      <c r="C1037" s="242">
        <f>C1120</f>
        <v>297119645</v>
      </c>
      <c r="D1037" s="242">
        <f t="shared" ref="D1037:E1037" si="401">D1120</f>
        <v>326831609.5</v>
      </c>
      <c r="E1037" s="242">
        <f t="shared" si="401"/>
        <v>359514770.45000005</v>
      </c>
    </row>
    <row r="1038" spans="1:5" ht="22.05" hidden="1" customHeight="1" outlineLevel="1">
      <c r="A1038" s="241" t="s">
        <v>1433</v>
      </c>
      <c r="B1038" s="242">
        <v>10248179</v>
      </c>
      <c r="C1038" s="242">
        <f>C1134</f>
        <v>10418179</v>
      </c>
      <c r="D1038" s="242">
        <f t="shared" ref="D1038:E1038" si="402">D1134</f>
        <v>11459996.9</v>
      </c>
      <c r="E1038" s="242">
        <f t="shared" si="402"/>
        <v>12605996.59</v>
      </c>
    </row>
    <row r="1039" spans="1:5" ht="22.05" hidden="1" customHeight="1" outlineLevel="1">
      <c r="A1039" s="212" t="s">
        <v>1434</v>
      </c>
      <c r="B1039" s="243">
        <v>1690325</v>
      </c>
      <c r="C1039" s="243">
        <f>C1148</f>
        <v>1382185</v>
      </c>
      <c r="D1039" s="243">
        <f t="shared" ref="D1039:E1039" si="403">D1148</f>
        <v>1520403.5000000002</v>
      </c>
      <c r="E1039" s="243">
        <f t="shared" si="403"/>
        <v>1672443.8500000006</v>
      </c>
    </row>
    <row r="1040" spans="1:5" ht="22.05" hidden="1" customHeight="1" outlineLevel="1">
      <c r="A1040" s="212" t="s">
        <v>1435</v>
      </c>
      <c r="B1040" s="243">
        <v>0</v>
      </c>
      <c r="C1040" s="243">
        <v>0</v>
      </c>
      <c r="D1040" s="243">
        <v>0</v>
      </c>
      <c r="E1040" s="243">
        <v>0</v>
      </c>
    </row>
    <row r="1041" spans="1:5" ht="22.05" hidden="1" customHeight="1" outlineLevel="1">
      <c r="A1041" s="212" t="s">
        <v>1436</v>
      </c>
      <c r="B1041" s="239">
        <v>0</v>
      </c>
      <c r="C1041" s="239">
        <v>0</v>
      </c>
      <c r="D1041" s="239">
        <v>0</v>
      </c>
      <c r="E1041" s="239">
        <v>0</v>
      </c>
    </row>
    <row r="1042" spans="1:5" ht="22.05" hidden="1" customHeight="1" outlineLevel="1">
      <c r="A1042" s="214" t="s">
        <v>1437</v>
      </c>
      <c r="B1042" s="240">
        <v>488304667.185045</v>
      </c>
      <c r="C1042" s="240">
        <f>SUM(C1035:C1041)</f>
        <v>312557558</v>
      </c>
      <c r="D1042" s="240">
        <f t="shared" ref="D1042:E1042" si="404">SUM(D1035:D1041)</f>
        <v>343813313.79999995</v>
      </c>
      <c r="E1042" s="240">
        <f t="shared" si="404"/>
        <v>378194645.18000007</v>
      </c>
    </row>
    <row r="1043" spans="1:5" ht="22.05" hidden="1" customHeight="1" outlineLevel="1">
      <c r="A1043" s="212" t="s">
        <v>1438</v>
      </c>
      <c r="B1043" s="243">
        <v>62306274.4056141</v>
      </c>
      <c r="C1043" s="243">
        <f>C1162</f>
        <v>65909218</v>
      </c>
      <c r="D1043" s="243">
        <f t="shared" ref="D1043:E1043" si="405">D1162</f>
        <v>72500139.800000012</v>
      </c>
      <c r="E1043" s="243">
        <f t="shared" si="405"/>
        <v>79750153.780000016</v>
      </c>
    </row>
    <row r="1044" spans="1:5" ht="22.05" hidden="1" customHeight="1" outlineLevel="1">
      <c r="A1044" s="214" t="s">
        <v>1439</v>
      </c>
      <c r="B1044" s="240">
        <v>62306274.4056141</v>
      </c>
      <c r="C1044" s="240">
        <f>C1043</f>
        <v>65909218</v>
      </c>
      <c r="D1044" s="240">
        <f t="shared" ref="D1044:E1044" si="406">D1043</f>
        <v>72500139.800000012</v>
      </c>
      <c r="E1044" s="240">
        <f t="shared" si="406"/>
        <v>79750153.780000016</v>
      </c>
    </row>
    <row r="1045" spans="1:5" ht="22.05" hidden="1" customHeight="1" outlineLevel="1">
      <c r="A1045" s="212" t="s">
        <v>1440</v>
      </c>
      <c r="B1045" s="243">
        <v>79431462</v>
      </c>
      <c r="C1045" s="243">
        <f>C1176</f>
        <v>44849212</v>
      </c>
      <c r="D1045" s="243">
        <f t="shared" ref="D1045:E1045" si="407">D1176</f>
        <v>49334133.200000003</v>
      </c>
      <c r="E1045" s="243">
        <f t="shared" si="407"/>
        <v>54267546.520000003</v>
      </c>
    </row>
    <row r="1046" spans="1:5" ht="22.05" hidden="1" customHeight="1" outlineLevel="1">
      <c r="A1046" s="214" t="s">
        <v>1441</v>
      </c>
      <c r="B1046" s="240">
        <v>79431462</v>
      </c>
      <c r="C1046" s="240">
        <f>C1045</f>
        <v>44849212</v>
      </c>
      <c r="D1046" s="240">
        <f t="shared" ref="D1046:E1046" si="408">D1045</f>
        <v>49334133.200000003</v>
      </c>
      <c r="E1046" s="240">
        <f t="shared" si="408"/>
        <v>54267546.520000003</v>
      </c>
    </row>
    <row r="1047" spans="1:5" ht="22.05" hidden="1" customHeight="1" outlineLevel="1">
      <c r="A1047" s="212" t="s">
        <v>1442</v>
      </c>
      <c r="B1047" s="243">
        <v>9596860.8115968797</v>
      </c>
      <c r="C1047" s="243">
        <f>C1189</f>
        <v>10897861</v>
      </c>
      <c r="D1047" s="243">
        <f t="shared" ref="D1047:E1047" si="409">D1189</f>
        <v>11987647.100000001</v>
      </c>
      <c r="E1047" s="243">
        <f t="shared" si="409"/>
        <v>13186411.810000002</v>
      </c>
    </row>
    <row r="1048" spans="1:5" ht="22.05" hidden="1" customHeight="1" outlineLevel="1">
      <c r="A1048" s="232" t="s">
        <v>1443</v>
      </c>
      <c r="B1048" s="243">
        <v>5654695</v>
      </c>
      <c r="C1048" s="243">
        <f>C1201</f>
        <v>6648856</v>
      </c>
      <c r="D1048" s="243">
        <f t="shared" ref="D1048:E1048" si="410">D1201</f>
        <v>7313741.6000000006</v>
      </c>
      <c r="E1048" s="243">
        <f t="shared" si="410"/>
        <v>8045115.7600000016</v>
      </c>
    </row>
    <row r="1049" spans="1:5" ht="22.05" hidden="1" customHeight="1" outlineLevel="1">
      <c r="A1049" s="212" t="s">
        <v>1444</v>
      </c>
      <c r="B1049" s="243">
        <v>18488449.9999981</v>
      </c>
      <c r="C1049" s="243">
        <f>C1215</f>
        <v>12000000</v>
      </c>
      <c r="D1049" s="243">
        <f t="shared" ref="D1049:E1049" si="411">D1215</f>
        <v>13200000.000000002</v>
      </c>
      <c r="E1049" s="243">
        <f t="shared" si="411"/>
        <v>14520000.000000004</v>
      </c>
    </row>
    <row r="1050" spans="1:5" ht="22.05" hidden="1" customHeight="1" outlineLevel="1">
      <c r="A1050" s="212" t="s">
        <v>1445</v>
      </c>
      <c r="B1050" s="243">
        <v>12728987</v>
      </c>
      <c r="C1050" s="243">
        <f>C1229</f>
        <v>13955971</v>
      </c>
      <c r="D1050" s="243">
        <f t="shared" ref="D1050:E1050" si="412">D1229</f>
        <v>15351568.100000001</v>
      </c>
      <c r="E1050" s="243">
        <f t="shared" si="412"/>
        <v>16886724.910000004</v>
      </c>
    </row>
    <row r="1051" spans="1:5" ht="22.05" hidden="1" customHeight="1" outlineLevel="1">
      <c r="A1051" s="214" t="s">
        <v>1446</v>
      </c>
      <c r="B1051" s="240">
        <v>46468992.811595</v>
      </c>
      <c r="C1051" s="240">
        <f>C1049+C1050+C1047+C1048</f>
        <v>43502688</v>
      </c>
      <c r="D1051" s="240">
        <f t="shared" ref="D1051:E1051" si="413">D1049+D1050+D1047+D1048</f>
        <v>47852956.800000004</v>
      </c>
      <c r="E1051" s="240">
        <f t="shared" si="413"/>
        <v>52638252.480000019</v>
      </c>
    </row>
    <row r="1052" spans="1:5" ht="22.05" hidden="1" customHeight="1" outlineLevel="1">
      <c r="A1052" s="218" t="s">
        <v>1285</v>
      </c>
      <c r="B1052" s="247">
        <v>713438406.30225396</v>
      </c>
      <c r="C1052" s="247">
        <f>C1034+C1042+C1044+C1046+C1051</f>
        <v>505877819</v>
      </c>
      <c r="D1052" s="247">
        <f t="shared" ref="D1052:E1052" si="414">D1034+D1042+D1044+D1046+D1051</f>
        <v>556465600.89999998</v>
      </c>
      <c r="E1052" s="247">
        <f t="shared" si="414"/>
        <v>612112160.99000013</v>
      </c>
    </row>
    <row r="1053" spans="1:5" ht="22.05" hidden="1" customHeight="1" outlineLevel="1">
      <c r="A1053" s="237"/>
      <c r="B1053" s="209"/>
      <c r="C1053" s="209"/>
      <c r="D1053" s="209"/>
      <c r="E1053" s="209"/>
    </row>
    <row r="1054" spans="1:5" ht="22.05" hidden="1" customHeight="1" outlineLevel="1">
      <c r="A1054" s="201" t="s">
        <v>1323</v>
      </c>
      <c r="B1054" s="244"/>
      <c r="C1054" s="244"/>
      <c r="D1054" s="244"/>
      <c r="E1054" s="244"/>
    </row>
    <row r="1055" spans="1:5" ht="22.05" hidden="1" customHeight="1" outlineLevel="1">
      <c r="A1055" s="210" t="s">
        <v>1287</v>
      </c>
      <c r="B1055" s="822" t="s">
        <v>1257</v>
      </c>
      <c r="C1055" s="822" t="s">
        <v>1258</v>
      </c>
      <c r="D1055" s="824" t="s">
        <v>1259</v>
      </c>
      <c r="E1055" s="825"/>
    </row>
    <row r="1056" spans="1:5" ht="22.05" hidden="1" customHeight="1" outlineLevel="1">
      <c r="A1056" s="211"/>
      <c r="B1056" s="823"/>
      <c r="C1056" s="823"/>
      <c r="D1056" s="788" t="s">
        <v>1260</v>
      </c>
      <c r="E1056" s="788" t="s">
        <v>1261</v>
      </c>
    </row>
    <row r="1057" spans="1:5" ht="22.05" hidden="1" customHeight="1" outlineLevel="1">
      <c r="A1057" s="218" t="s">
        <v>1298</v>
      </c>
      <c r="B1057" s="247">
        <v>132217936.00225399</v>
      </c>
      <c r="C1057" s="247">
        <f>SUM(C1058:C1060)</f>
        <v>132097936</v>
      </c>
      <c r="D1057" s="247">
        <f>SUM(D1058:D1060)</f>
        <v>145307729.60000002</v>
      </c>
      <c r="E1057" s="247">
        <f>SUM(E1058:E1060)</f>
        <v>159838502.56000003</v>
      </c>
    </row>
    <row r="1058" spans="1:5" ht="22.05" hidden="1" customHeight="1" outlineLevel="1">
      <c r="A1058" s="224" t="s">
        <v>1288</v>
      </c>
      <c r="B1058" s="239">
        <v>54437555.002255499</v>
      </c>
      <c r="C1058" s="239">
        <f>C1073+C1087+C1100+C1114+C1128+C1142+C1156+C1170+C1183+C1195+C1209+C1223</f>
        <v>54797555</v>
      </c>
      <c r="D1058" s="239">
        <f t="shared" ref="D1058:E1058" si="415">D1073+D1087+D1100+D1114+D1128+D1142+D1156+D1170+D1183+D1195+D1209+D1223</f>
        <v>60277310.500000007</v>
      </c>
      <c r="E1058" s="239">
        <f t="shared" si="415"/>
        <v>66305041.550000012</v>
      </c>
    </row>
    <row r="1059" spans="1:5" ht="22.05" hidden="1" customHeight="1" outlineLevel="1">
      <c r="A1059" s="224" t="s">
        <v>1289</v>
      </c>
      <c r="B1059" s="239">
        <v>71589020.999998093</v>
      </c>
      <c r="C1059" s="239">
        <f t="shared" ref="C1059:E1060" si="416">C1074+C1088+C1101+C1115+C1129+C1143+C1157+C1171+C1184+C1196+C1210+C1224</f>
        <v>70523783</v>
      </c>
      <c r="D1059" s="239">
        <f t="shared" si="416"/>
        <v>77576161.300000012</v>
      </c>
      <c r="E1059" s="239">
        <f t="shared" si="416"/>
        <v>85333777.430000007</v>
      </c>
    </row>
    <row r="1060" spans="1:5" ht="22.05" hidden="1" customHeight="1" outlineLevel="1">
      <c r="A1060" s="224" t="s">
        <v>1290</v>
      </c>
      <c r="B1060" s="239">
        <v>6191360</v>
      </c>
      <c r="C1060" s="239">
        <f>C1075+C1089+C1102+C1116+C1130+C1144+C1158+C1172+C1185+C1197+C1211+C1225</f>
        <v>6776598</v>
      </c>
      <c r="D1060" s="239">
        <f t="shared" si="416"/>
        <v>7454257.8000000007</v>
      </c>
      <c r="E1060" s="239">
        <f t="shared" si="416"/>
        <v>8199683.5800000001</v>
      </c>
    </row>
    <row r="1061" spans="1:5" s="201" customFormat="1" ht="22.05" hidden="1" customHeight="1" outlineLevel="1">
      <c r="A1061" s="218" t="s">
        <v>1291</v>
      </c>
      <c r="B1061" s="247">
        <v>581220470.29999995</v>
      </c>
      <c r="C1061" s="247">
        <f>SUM(C1062:C1063)</f>
        <v>373779883</v>
      </c>
      <c r="D1061" s="247">
        <f>SUM(D1062:D1063)</f>
        <v>411157871.30000001</v>
      </c>
      <c r="E1061" s="247">
        <f>SUM(E1062:E1063)</f>
        <v>452273658.43000007</v>
      </c>
    </row>
    <row r="1062" spans="1:5" ht="22.05" hidden="1" customHeight="1" outlineLevel="1">
      <c r="A1062" s="224" t="s">
        <v>1292</v>
      </c>
      <c r="B1062" s="239">
        <v>581220470.29999995</v>
      </c>
      <c r="C1062" s="239">
        <f>C1077+C1091+C1104+C1118+C1132+C1146+C1160+C1174+C1187+C1199+C1213+C1227</f>
        <v>373779883</v>
      </c>
      <c r="D1062" s="239">
        <f t="shared" ref="D1062:E1062" si="417">D1077+D1091+D1104+D1118+D1132+D1146+D1160+D1174+D1187+D1199+D1213+D1227</f>
        <v>411157871.30000001</v>
      </c>
      <c r="E1062" s="239">
        <f t="shared" si="417"/>
        <v>452273658.43000007</v>
      </c>
    </row>
    <row r="1063" spans="1:5" ht="22.05" hidden="1" customHeight="1" outlineLevel="1">
      <c r="A1063" s="224" t="s">
        <v>1293</v>
      </c>
      <c r="B1063" s="239">
        <v>0</v>
      </c>
      <c r="C1063" s="239">
        <f>C1078+C1092+C1105+C1119+C1133+C1147+C1161+C1175+C1188+C1200+C1214+C1228</f>
        <v>0</v>
      </c>
      <c r="D1063" s="239">
        <f t="shared" ref="D1063:E1063" si="418">D1078+D1092+D1105+D1119+D1133+D1147+D1161+D1175+D1188+D1200+D1214+D1228</f>
        <v>0</v>
      </c>
      <c r="E1063" s="239">
        <f t="shared" si="418"/>
        <v>0</v>
      </c>
    </row>
    <row r="1064" spans="1:5" ht="22.05" hidden="1" customHeight="1" outlineLevel="1">
      <c r="A1064" s="218" t="s">
        <v>1294</v>
      </c>
      <c r="B1064" s="247">
        <v>713438406.30225396</v>
      </c>
      <c r="C1064" s="247">
        <f>C1057+C1061</f>
        <v>505877819</v>
      </c>
      <c r="D1064" s="247">
        <f>D1057+D1061</f>
        <v>556465600.9000001</v>
      </c>
      <c r="E1064" s="247">
        <f>E1057+E1061</f>
        <v>612112160.99000013</v>
      </c>
    </row>
    <row r="1065" spans="1:5" ht="22.05" hidden="1" customHeight="1" outlineLevel="1">
      <c r="A1065" s="237"/>
      <c r="B1065" s="209"/>
      <c r="C1065" s="209"/>
      <c r="D1065" s="209"/>
      <c r="E1065" s="209"/>
    </row>
    <row r="1066" spans="1:5" ht="22.05" hidden="1" customHeight="1" outlineLevel="1">
      <c r="A1066" s="237"/>
      <c r="B1066" s="209"/>
      <c r="C1066" s="209"/>
      <c r="D1066" s="209"/>
      <c r="E1066" s="209"/>
    </row>
    <row r="1067" spans="1:5" ht="22.05" hidden="1" customHeight="1" outlineLevel="1">
      <c r="A1067" s="201" t="s">
        <v>1295</v>
      </c>
      <c r="B1067" s="244"/>
      <c r="C1067" s="244"/>
      <c r="D1067" s="244"/>
      <c r="E1067" s="244"/>
    </row>
    <row r="1068" spans="1:5" ht="22.05" hidden="1" customHeight="1" outlineLevel="1">
      <c r="A1068" s="201" t="s">
        <v>1447</v>
      </c>
      <c r="B1068" s="244"/>
      <c r="C1068" s="244"/>
      <c r="D1068" s="244"/>
      <c r="E1068" s="244"/>
    </row>
    <row r="1069" spans="1:5" ht="22.05" hidden="1" customHeight="1" outlineLevel="1">
      <c r="A1069" s="205" t="s">
        <v>1448</v>
      </c>
      <c r="B1069" s="244"/>
      <c r="C1069" s="244"/>
      <c r="D1069" s="244"/>
      <c r="E1069" s="244"/>
    </row>
    <row r="1070" spans="1:5" ht="22.05" hidden="1" customHeight="1" outlineLevel="1">
      <c r="A1070" s="210" t="s">
        <v>1287</v>
      </c>
      <c r="B1070" s="822" t="s">
        <v>1257</v>
      </c>
      <c r="C1070" s="822" t="s">
        <v>1258</v>
      </c>
      <c r="D1070" s="824" t="s">
        <v>1259</v>
      </c>
      <c r="E1070" s="825"/>
    </row>
    <row r="1071" spans="1:5" ht="22.05" hidden="1" customHeight="1" outlineLevel="1">
      <c r="A1071" s="211"/>
      <c r="B1071" s="823"/>
      <c r="C1071" s="823"/>
      <c r="D1071" s="788" t="s">
        <v>1260</v>
      </c>
      <c r="E1071" s="788" t="s">
        <v>1261</v>
      </c>
    </row>
    <row r="1072" spans="1:5" ht="22.05" hidden="1" customHeight="1" outlineLevel="1">
      <c r="A1072" s="218" t="s">
        <v>1298</v>
      </c>
      <c r="B1072" s="247">
        <v>36927009.899999999</v>
      </c>
      <c r="C1072" s="247">
        <f>SUM(C1073:C1075)</f>
        <v>39059143</v>
      </c>
      <c r="D1072" s="247">
        <f>SUM(D1073:D1075)</f>
        <v>42965057.300000004</v>
      </c>
      <c r="E1072" s="247">
        <f>SUM(E1073:E1075)</f>
        <v>47261563.030000009</v>
      </c>
    </row>
    <row r="1073" spans="1:5" ht="22.05" hidden="1" customHeight="1" outlineLevel="1">
      <c r="A1073" s="224" t="s">
        <v>1288</v>
      </c>
      <c r="B1073" s="239">
        <v>26242737.899999999</v>
      </c>
      <c r="C1073" s="239">
        <f>'Itemized Budget 2026-27'!E2486</f>
        <v>26362738</v>
      </c>
      <c r="D1073" s="239">
        <f>C1073*1.1</f>
        <v>28999011.800000001</v>
      </c>
      <c r="E1073" s="239">
        <f>D1073*1.1</f>
        <v>31898912.980000004</v>
      </c>
    </row>
    <row r="1074" spans="1:5" ht="22.05" hidden="1" customHeight="1" outlineLevel="1">
      <c r="A1074" s="224" t="s">
        <v>1289</v>
      </c>
      <c r="B1074" s="239">
        <v>9312912</v>
      </c>
      <c r="C1074" s="239">
        <f>'Itemized Budget 2026-27'!E2538-'Itemized Budget 2026-27'!E2534-'Itemized Budget 2026-27'!E2486</f>
        <v>11273220</v>
      </c>
      <c r="D1074" s="239">
        <f t="shared" ref="D1074:E1074" si="419">C1074*1.1</f>
        <v>12400542.000000002</v>
      </c>
      <c r="E1074" s="239">
        <f t="shared" si="419"/>
        <v>13640596.200000003</v>
      </c>
    </row>
    <row r="1075" spans="1:5" ht="22.05" hidden="1" customHeight="1" outlineLevel="1">
      <c r="A1075" s="224" t="s">
        <v>1290</v>
      </c>
      <c r="B1075" s="239">
        <v>1371360</v>
      </c>
      <c r="C1075" s="239">
        <f>'Itemized Budget 2026-27'!E2534</f>
        <v>1423185</v>
      </c>
      <c r="D1075" s="239">
        <f t="shared" ref="D1075:E1075" si="420">C1075*1.1</f>
        <v>1565503.5000000002</v>
      </c>
      <c r="E1075" s="239">
        <f t="shared" si="420"/>
        <v>1722053.8500000003</v>
      </c>
    </row>
    <row r="1076" spans="1:5" ht="22.05" hidden="1" customHeight="1" outlineLevel="1">
      <c r="A1076" s="218" t="s">
        <v>1291</v>
      </c>
      <c r="B1076" s="247">
        <v>0</v>
      </c>
      <c r="C1076" s="247">
        <f>SUM(C1077:C1078)</f>
        <v>0</v>
      </c>
      <c r="D1076" s="247">
        <f t="shared" ref="D1076:E1076" si="421">SUM(D1077:D1078)</f>
        <v>0</v>
      </c>
      <c r="E1076" s="247">
        <f t="shared" si="421"/>
        <v>0</v>
      </c>
    </row>
    <row r="1077" spans="1:5" ht="22.05" hidden="1" customHeight="1" outlineLevel="1">
      <c r="A1077" s="224" t="s">
        <v>1299</v>
      </c>
      <c r="B1077" s="239"/>
      <c r="C1077" s="239"/>
      <c r="D1077" s="239">
        <f t="shared" ref="D1077:E1077" si="422">C1077*1.1</f>
        <v>0</v>
      </c>
      <c r="E1077" s="239">
        <f t="shared" si="422"/>
        <v>0</v>
      </c>
    </row>
    <row r="1078" spans="1:5" ht="22.05" hidden="1" customHeight="1" outlineLevel="1">
      <c r="A1078" s="224" t="s">
        <v>1300</v>
      </c>
      <c r="B1078" s="239">
        <v>0</v>
      </c>
      <c r="C1078" s="239">
        <v>0</v>
      </c>
      <c r="D1078" s="239">
        <f t="shared" ref="D1078:E1078" si="423">C1078*1.1</f>
        <v>0</v>
      </c>
      <c r="E1078" s="239">
        <f t="shared" si="423"/>
        <v>0</v>
      </c>
    </row>
    <row r="1079" spans="1:5" ht="22.05" hidden="1" customHeight="1" outlineLevel="1">
      <c r="A1079" s="218" t="s">
        <v>1301</v>
      </c>
      <c r="B1079" s="247">
        <v>36927009.899999999</v>
      </c>
      <c r="C1079" s="247">
        <f>C1072+C1076</f>
        <v>39059143</v>
      </c>
      <c r="D1079" s="247">
        <f>D1072+D1076</f>
        <v>42965057.300000004</v>
      </c>
      <c r="E1079" s="247">
        <f>E1072+E1076</f>
        <v>47261563.030000009</v>
      </c>
    </row>
    <row r="1080" spans="1:5" ht="22.05" hidden="1" customHeight="1" outlineLevel="1">
      <c r="B1080" s="209"/>
      <c r="C1080" s="209"/>
      <c r="D1080" s="209"/>
      <c r="E1080" s="209"/>
    </row>
    <row r="1081" spans="1:5" ht="22.05" hidden="1" customHeight="1" outlineLevel="1">
      <c r="B1081" s="209"/>
      <c r="C1081" s="209"/>
      <c r="D1081" s="209"/>
      <c r="E1081" s="209"/>
    </row>
    <row r="1082" spans="1:5" ht="22.05" hidden="1" customHeight="1" outlineLevel="1">
      <c r="A1082" s="218" t="s">
        <v>1449</v>
      </c>
      <c r="B1082" s="244"/>
      <c r="C1082" s="244"/>
      <c r="D1082" s="244"/>
      <c r="E1082" s="244"/>
    </row>
    <row r="1083" spans="1:5" ht="22.05" hidden="1" customHeight="1" outlineLevel="1">
      <c r="A1083" s="218" t="s">
        <v>1431</v>
      </c>
      <c r="B1083" s="244"/>
      <c r="C1083" s="244"/>
      <c r="D1083" s="244"/>
      <c r="E1083" s="244"/>
    </row>
    <row r="1084" spans="1:5" ht="22.05" hidden="1" customHeight="1" outlineLevel="1">
      <c r="A1084" s="210" t="s">
        <v>1287</v>
      </c>
      <c r="B1084" s="822" t="s">
        <v>1257</v>
      </c>
      <c r="C1084" s="822" t="s">
        <v>1258</v>
      </c>
      <c r="D1084" s="824" t="s">
        <v>1259</v>
      </c>
      <c r="E1084" s="825"/>
    </row>
    <row r="1085" spans="1:5" ht="22.05" hidden="1" customHeight="1" outlineLevel="1">
      <c r="A1085" s="211"/>
      <c r="B1085" s="823"/>
      <c r="C1085" s="823"/>
      <c r="D1085" s="788" t="s">
        <v>1260</v>
      </c>
      <c r="E1085" s="788" t="s">
        <v>1261</v>
      </c>
    </row>
    <row r="1086" spans="1:5" ht="22.05" hidden="1" customHeight="1" outlineLevel="1">
      <c r="A1086" s="218" t="s">
        <v>1298</v>
      </c>
      <c r="B1086" s="247">
        <v>3636886</v>
      </c>
      <c r="C1086" s="247">
        <f>SUM(C1087:C1089)</f>
        <v>2145371</v>
      </c>
      <c r="D1086" s="247">
        <f>SUM(D1087:D1089)</f>
        <v>2359908.1</v>
      </c>
      <c r="E1086" s="247">
        <f>SUM(E1087:E1089)</f>
        <v>2595898.91</v>
      </c>
    </row>
    <row r="1087" spans="1:5" ht="22.05" hidden="1" customHeight="1" outlineLevel="1">
      <c r="A1087" s="224" t="s">
        <v>1288</v>
      </c>
      <c r="B1087" s="239"/>
      <c r="C1087" s="239"/>
      <c r="D1087" s="239">
        <f t="shared" ref="D1087:E1087" si="424">C1087*1.1</f>
        <v>0</v>
      </c>
      <c r="E1087" s="239">
        <f t="shared" si="424"/>
        <v>0</v>
      </c>
    </row>
    <row r="1088" spans="1:5" ht="22.05" hidden="1" customHeight="1" outlineLevel="1">
      <c r="A1088" s="224" t="s">
        <v>1289</v>
      </c>
      <c r="B1088" s="239">
        <v>3636886</v>
      </c>
      <c r="C1088" s="239">
        <f>'Itemized Budget 2026-27'!E2556</f>
        <v>2145371</v>
      </c>
      <c r="D1088" s="239">
        <f t="shared" ref="D1088:E1088" si="425">C1088*1.1</f>
        <v>2359908.1</v>
      </c>
      <c r="E1088" s="239">
        <f t="shared" si="425"/>
        <v>2595898.91</v>
      </c>
    </row>
    <row r="1089" spans="1:5" ht="22.05" hidden="1" customHeight="1" outlineLevel="1">
      <c r="A1089" s="224" t="s">
        <v>1290</v>
      </c>
      <c r="B1089" s="239"/>
      <c r="C1089" s="239"/>
      <c r="D1089" s="239">
        <f t="shared" ref="D1089:E1089" si="426">C1089*1.1</f>
        <v>0</v>
      </c>
      <c r="E1089" s="239">
        <f t="shared" si="426"/>
        <v>0</v>
      </c>
    </row>
    <row r="1090" spans="1:5" ht="22.05" hidden="1" customHeight="1" outlineLevel="1">
      <c r="A1090" s="218" t="s">
        <v>1291</v>
      </c>
      <c r="B1090" s="247">
        <v>0</v>
      </c>
      <c r="C1090" s="247">
        <f>SUM(C1091:C1092)</f>
        <v>0</v>
      </c>
      <c r="D1090" s="247">
        <f t="shared" ref="D1090:E1090" si="427">SUM(D1091:D1092)</f>
        <v>0</v>
      </c>
      <c r="E1090" s="247">
        <f t="shared" si="427"/>
        <v>0</v>
      </c>
    </row>
    <row r="1091" spans="1:5" ht="22.05" hidden="1" customHeight="1" outlineLevel="1">
      <c r="A1091" s="224" t="s">
        <v>1299</v>
      </c>
      <c r="B1091" s="239"/>
      <c r="C1091" s="239"/>
      <c r="D1091" s="239">
        <f t="shared" ref="D1091:E1091" si="428">C1091*1.1</f>
        <v>0</v>
      </c>
      <c r="E1091" s="239">
        <f t="shared" si="428"/>
        <v>0</v>
      </c>
    </row>
    <row r="1092" spans="1:5" ht="22.05" hidden="1" customHeight="1" outlineLevel="1">
      <c r="A1092" s="224" t="s">
        <v>1300</v>
      </c>
      <c r="B1092" s="239">
        <v>0</v>
      </c>
      <c r="C1092" s="239">
        <v>0</v>
      </c>
      <c r="D1092" s="239">
        <f t="shared" ref="D1092:E1092" si="429">C1092*1.1</f>
        <v>0</v>
      </c>
      <c r="E1092" s="239">
        <f t="shared" si="429"/>
        <v>0</v>
      </c>
    </row>
    <row r="1093" spans="1:5" ht="22.05" hidden="1" customHeight="1" outlineLevel="1">
      <c r="A1093" s="218" t="s">
        <v>1301</v>
      </c>
      <c r="B1093" s="247">
        <v>3636886</v>
      </c>
      <c r="C1093" s="247">
        <f>C1086+C1090</f>
        <v>2145371</v>
      </c>
      <c r="D1093" s="247">
        <f>D1086+D1090</f>
        <v>2359908.1</v>
      </c>
      <c r="E1093" s="247">
        <f>E1086+E1090</f>
        <v>2595898.91</v>
      </c>
    </row>
    <row r="1094" spans="1:5" ht="22.05" hidden="1" customHeight="1" outlineLevel="1">
      <c r="A1094" s="218"/>
      <c r="B1094" s="244"/>
      <c r="C1094" s="244"/>
      <c r="D1094" s="244"/>
      <c r="E1094" s="244"/>
    </row>
    <row r="1095" spans="1:5" ht="22.05" hidden="1" customHeight="1" outlineLevel="1">
      <c r="A1095" s="218" t="s">
        <v>738</v>
      </c>
      <c r="B1095" s="244"/>
      <c r="C1095" s="244"/>
      <c r="D1095" s="244"/>
      <c r="E1095" s="244"/>
    </row>
    <row r="1096" spans="1:5" ht="22.05" hidden="1" customHeight="1" outlineLevel="1">
      <c r="A1096" s="218" t="s">
        <v>739</v>
      </c>
      <c r="B1096" s="244"/>
      <c r="C1096" s="244"/>
      <c r="D1096" s="244"/>
      <c r="E1096" s="244"/>
    </row>
    <row r="1097" spans="1:5" ht="22.05" hidden="1" customHeight="1" outlineLevel="1">
      <c r="A1097" s="210" t="s">
        <v>1287</v>
      </c>
      <c r="B1097" s="822" t="s">
        <v>1257</v>
      </c>
      <c r="C1097" s="822" t="s">
        <v>1258</v>
      </c>
      <c r="D1097" s="824" t="s">
        <v>1259</v>
      </c>
      <c r="E1097" s="825"/>
    </row>
    <row r="1098" spans="1:5" ht="22.05" hidden="1" customHeight="1" outlineLevel="1">
      <c r="A1098" s="211"/>
      <c r="B1098" s="823"/>
      <c r="C1098" s="823"/>
      <c r="D1098" s="788" t="s">
        <v>1260</v>
      </c>
      <c r="E1098" s="788" t="s">
        <v>1261</v>
      </c>
    </row>
    <row r="1099" spans="1:5" ht="22.05" hidden="1" customHeight="1" outlineLevel="1">
      <c r="A1099" s="218" t="s">
        <v>1298</v>
      </c>
      <c r="B1099" s="247">
        <v>1217178</v>
      </c>
      <c r="C1099" s="247">
        <f>SUM(C1100:C1102)</f>
        <v>1492178</v>
      </c>
      <c r="D1099" s="247">
        <f>SUM(D1100:D1102)</f>
        <v>1641395.8</v>
      </c>
      <c r="E1099" s="247">
        <f>SUM(E1100:E1102)</f>
        <v>1805535.3800000001</v>
      </c>
    </row>
    <row r="1100" spans="1:5" ht="22.05" hidden="1" customHeight="1" outlineLevel="1">
      <c r="A1100" s="224" t="s">
        <v>1288</v>
      </c>
      <c r="B1100" s="239"/>
      <c r="C1100" s="239"/>
      <c r="D1100" s="239">
        <f t="shared" ref="D1100:E1100" si="430">C1100*1.1</f>
        <v>0</v>
      </c>
      <c r="E1100" s="239">
        <f t="shared" si="430"/>
        <v>0</v>
      </c>
    </row>
    <row r="1101" spans="1:5" ht="22.05" hidden="1" customHeight="1" outlineLevel="1">
      <c r="A1101" s="224" t="s">
        <v>1289</v>
      </c>
      <c r="B1101" s="239">
        <v>1217178</v>
      </c>
      <c r="C1101" s="239">
        <f>'Itemized Budget 2026-27'!E2569</f>
        <v>1492178</v>
      </c>
      <c r="D1101" s="239">
        <f t="shared" ref="D1101:E1101" si="431">C1101*1.1</f>
        <v>1641395.8</v>
      </c>
      <c r="E1101" s="239">
        <f t="shared" si="431"/>
        <v>1805535.3800000001</v>
      </c>
    </row>
    <row r="1102" spans="1:5" ht="22.05" hidden="1" customHeight="1" outlineLevel="1">
      <c r="A1102" s="224" t="s">
        <v>1290</v>
      </c>
      <c r="B1102" s="239"/>
      <c r="C1102" s="239"/>
      <c r="D1102" s="239">
        <f t="shared" ref="D1102:E1102" si="432">C1102*1.1</f>
        <v>0</v>
      </c>
      <c r="E1102" s="239">
        <f t="shared" si="432"/>
        <v>0</v>
      </c>
    </row>
    <row r="1103" spans="1:5" ht="22.05" hidden="1" customHeight="1" outlineLevel="1">
      <c r="A1103" s="218" t="s">
        <v>1291</v>
      </c>
      <c r="B1103" s="247">
        <v>2880000</v>
      </c>
      <c r="C1103" s="247">
        <f>SUM(C1104:C1105)</f>
        <v>0</v>
      </c>
      <c r="D1103" s="247">
        <f t="shared" ref="D1103:E1103" si="433">SUM(D1104:D1105)</f>
        <v>0</v>
      </c>
      <c r="E1103" s="247">
        <f t="shared" si="433"/>
        <v>0</v>
      </c>
    </row>
    <row r="1104" spans="1:5" ht="22.05" hidden="1" customHeight="1" outlineLevel="1">
      <c r="A1104" s="224" t="s">
        <v>1299</v>
      </c>
      <c r="B1104" s="239">
        <v>2880000</v>
      </c>
      <c r="C1104" s="239"/>
      <c r="D1104" s="239">
        <f t="shared" ref="D1104:E1104" si="434">C1104*1.1</f>
        <v>0</v>
      </c>
      <c r="E1104" s="239">
        <f t="shared" si="434"/>
        <v>0</v>
      </c>
    </row>
    <row r="1105" spans="1:5" ht="22.05" hidden="1" customHeight="1" outlineLevel="1">
      <c r="A1105" s="224" t="s">
        <v>1300</v>
      </c>
      <c r="B1105" s="239">
        <v>0</v>
      </c>
      <c r="C1105" s="239">
        <v>0</v>
      </c>
      <c r="D1105" s="239">
        <f t="shared" ref="D1105:E1105" si="435">C1105*1.1</f>
        <v>0</v>
      </c>
      <c r="E1105" s="239">
        <f t="shared" si="435"/>
        <v>0</v>
      </c>
    </row>
    <row r="1106" spans="1:5" ht="22.05" hidden="1" customHeight="1" outlineLevel="1">
      <c r="A1106" s="218" t="s">
        <v>1301</v>
      </c>
      <c r="B1106" s="247">
        <v>4097178</v>
      </c>
      <c r="C1106" s="247">
        <f>C1099+C1103</f>
        <v>1492178</v>
      </c>
      <c r="D1106" s="247">
        <f>D1099+D1103</f>
        <v>1641395.8</v>
      </c>
      <c r="E1106" s="247">
        <f>E1099+E1103</f>
        <v>1805535.3800000001</v>
      </c>
    </row>
    <row r="1107" spans="1:5" ht="22.05" hidden="1" customHeight="1" outlineLevel="1">
      <c r="A1107" s="218"/>
      <c r="B1107" s="244"/>
      <c r="C1107" s="244"/>
      <c r="D1107" s="244"/>
      <c r="E1107" s="244"/>
    </row>
    <row r="1108" spans="1:5" ht="22.05" hidden="1" customHeight="1" outlineLevel="1">
      <c r="A1108" s="218"/>
      <c r="B1108" s="244"/>
      <c r="C1108" s="244"/>
      <c r="D1108" s="244"/>
      <c r="E1108" s="244"/>
    </row>
    <row r="1109" spans="1:5" ht="22.05" hidden="1" customHeight="1" outlineLevel="1">
      <c r="A1109" s="218" t="s">
        <v>1450</v>
      </c>
      <c r="B1109" s="209"/>
      <c r="C1109" s="209"/>
      <c r="D1109" s="209"/>
      <c r="E1109" s="209"/>
    </row>
    <row r="1110" spans="1:5" ht="22.05" hidden="1" customHeight="1" outlineLevel="1">
      <c r="A1110" s="218" t="s">
        <v>1432</v>
      </c>
      <c r="B1110" s="209"/>
      <c r="C1110" s="209"/>
      <c r="D1110" s="209"/>
      <c r="E1110" s="209"/>
    </row>
    <row r="1111" spans="1:5" ht="22.05" hidden="1" customHeight="1" outlineLevel="1">
      <c r="A1111" s="210" t="s">
        <v>1287</v>
      </c>
      <c r="B1111" s="822" t="s">
        <v>1257</v>
      </c>
      <c r="C1111" s="822" t="s">
        <v>1258</v>
      </c>
      <c r="D1111" s="824" t="s">
        <v>1259</v>
      </c>
      <c r="E1111" s="825"/>
    </row>
    <row r="1112" spans="1:5" ht="22.05" hidden="1" customHeight="1" outlineLevel="1">
      <c r="A1112" s="211"/>
      <c r="B1112" s="823"/>
      <c r="C1112" s="823"/>
      <c r="D1112" s="788" t="s">
        <v>1260</v>
      </c>
      <c r="E1112" s="788" t="s">
        <v>1261</v>
      </c>
    </row>
    <row r="1113" spans="1:5" ht="22.05" hidden="1" customHeight="1" outlineLevel="1">
      <c r="A1113" s="218" t="s">
        <v>1298</v>
      </c>
      <c r="B1113" s="247">
        <v>17905907.8850445</v>
      </c>
      <c r="C1113" s="247">
        <f>SUM(C1114:C1116)</f>
        <v>19675880</v>
      </c>
      <c r="D1113" s="247">
        <f>SUM(D1114:D1116)</f>
        <v>21643468</v>
      </c>
      <c r="E1113" s="247">
        <f>SUM(E1114:E1116)</f>
        <v>23807814.800000004</v>
      </c>
    </row>
    <row r="1114" spans="1:5" ht="22.05" hidden="1" customHeight="1" outlineLevel="1">
      <c r="A1114" s="224" t="s">
        <v>1288</v>
      </c>
      <c r="B1114" s="239">
        <v>15111689.8850445</v>
      </c>
      <c r="C1114" s="239">
        <f>'Itemized Budget 2026-27'!E2574</f>
        <v>15231690</v>
      </c>
      <c r="D1114" s="239">
        <f t="shared" ref="D1114:E1114" si="436">C1114*1.1</f>
        <v>16754859.000000002</v>
      </c>
      <c r="E1114" s="239">
        <f t="shared" si="436"/>
        <v>18430344.900000002</v>
      </c>
    </row>
    <row r="1115" spans="1:5" ht="22.05" hidden="1" customHeight="1" outlineLevel="1">
      <c r="A1115" s="224" t="s">
        <v>1289</v>
      </c>
      <c r="B1115" s="239">
        <v>2794218</v>
      </c>
      <c r="C1115" s="239">
        <f>'Itemized Budget 2026-27'!E2599-'Itemized Budget 2026-27'!E2574</f>
        <v>4444190</v>
      </c>
      <c r="D1115" s="239">
        <f t="shared" ref="D1115:E1115" si="437">C1115*1.1</f>
        <v>4888609</v>
      </c>
      <c r="E1115" s="239">
        <f t="shared" si="437"/>
        <v>5377469.9000000004</v>
      </c>
    </row>
    <row r="1116" spans="1:5" ht="22.05" hidden="1" customHeight="1" outlineLevel="1">
      <c r="A1116" s="224" t="s">
        <v>1290</v>
      </c>
      <c r="B1116" s="239"/>
      <c r="C1116" s="239"/>
      <c r="D1116" s="239">
        <f t="shared" ref="D1116:E1116" si="438">C1116*1.1</f>
        <v>0</v>
      </c>
      <c r="E1116" s="239">
        <f t="shared" si="438"/>
        <v>0</v>
      </c>
    </row>
    <row r="1117" spans="1:5" ht="22.05" hidden="1" customHeight="1" outlineLevel="1">
      <c r="A1117" s="218" t="s">
        <v>1291</v>
      </c>
      <c r="B1117" s="247">
        <v>450726191.30000001</v>
      </c>
      <c r="C1117" s="247">
        <f>SUM(C1118:C1119)</f>
        <v>277443765</v>
      </c>
      <c r="D1117" s="247">
        <f t="shared" ref="D1117:E1117" si="439">SUM(D1118:D1119)</f>
        <v>305188141.5</v>
      </c>
      <c r="E1117" s="247">
        <f t="shared" si="439"/>
        <v>335706955.65000004</v>
      </c>
    </row>
    <row r="1118" spans="1:5" ht="22.05" hidden="1" customHeight="1" outlineLevel="1">
      <c r="A1118" s="224" t="s">
        <v>1299</v>
      </c>
      <c r="B1118" s="239">
        <v>450726191.30000001</v>
      </c>
      <c r="C1118" s="239">
        <f>'Itemized Budget 2026-27'!E2605</f>
        <v>277443765</v>
      </c>
      <c r="D1118" s="239">
        <f t="shared" ref="D1118:E1118" si="440">C1118*1.1</f>
        <v>305188141.5</v>
      </c>
      <c r="E1118" s="239">
        <f t="shared" si="440"/>
        <v>335706955.65000004</v>
      </c>
    </row>
    <row r="1119" spans="1:5" ht="22.05" hidden="1" customHeight="1" outlineLevel="1">
      <c r="A1119" s="224" t="s">
        <v>1300</v>
      </c>
      <c r="B1119" s="239"/>
      <c r="C1119" s="239"/>
      <c r="D1119" s="239">
        <f t="shared" ref="D1119:E1119" si="441">C1119*1.1</f>
        <v>0</v>
      </c>
      <c r="E1119" s="239">
        <f t="shared" si="441"/>
        <v>0</v>
      </c>
    </row>
    <row r="1120" spans="1:5" ht="22.05" hidden="1" customHeight="1" outlineLevel="1">
      <c r="A1120" s="218" t="s">
        <v>1301</v>
      </c>
      <c r="B1120" s="247">
        <v>468632099.185045</v>
      </c>
      <c r="C1120" s="247">
        <f>C1113+C1117</f>
        <v>297119645</v>
      </c>
      <c r="D1120" s="247">
        <f>D1113+D1117</f>
        <v>326831609.5</v>
      </c>
      <c r="E1120" s="247">
        <f>E1113+E1117</f>
        <v>359514770.45000005</v>
      </c>
    </row>
    <row r="1121" spans="1:5" ht="22.05" hidden="1" customHeight="1" outlineLevel="1">
      <c r="B1121" s="209"/>
      <c r="C1121" s="209"/>
      <c r="D1121" s="209"/>
      <c r="E1121" s="209"/>
    </row>
    <row r="1122" spans="1:5" ht="22.05" hidden="1" customHeight="1" outlineLevel="1">
      <c r="B1122" s="209"/>
      <c r="C1122" s="209"/>
      <c r="D1122" s="209"/>
      <c r="E1122" s="209"/>
    </row>
    <row r="1123" spans="1:5" ht="22.05" hidden="1" customHeight="1" outlineLevel="1">
      <c r="A1123" s="218" t="s">
        <v>1433</v>
      </c>
      <c r="B1123" s="209"/>
      <c r="C1123" s="209"/>
      <c r="D1123" s="209"/>
      <c r="E1123" s="209"/>
    </row>
    <row r="1124" spans="1:5" ht="22.05" hidden="1" customHeight="1" outlineLevel="1">
      <c r="A1124" s="218" t="s">
        <v>1451</v>
      </c>
      <c r="B1124" s="259"/>
      <c r="C1124" s="259"/>
      <c r="D1124" s="244"/>
      <c r="E1124" s="244"/>
    </row>
    <row r="1125" spans="1:5" ht="22.05" hidden="1" customHeight="1" outlineLevel="1">
      <c r="A1125" s="210" t="s">
        <v>1287</v>
      </c>
      <c r="B1125" s="822" t="s">
        <v>1257</v>
      </c>
      <c r="C1125" s="822" t="s">
        <v>1258</v>
      </c>
      <c r="D1125" s="824" t="s">
        <v>1259</v>
      </c>
      <c r="E1125" s="825"/>
    </row>
    <row r="1126" spans="1:5" ht="22.05" hidden="1" customHeight="1" outlineLevel="1">
      <c r="A1126" s="211"/>
      <c r="B1126" s="823"/>
      <c r="C1126" s="823"/>
      <c r="D1126" s="788" t="s">
        <v>1260</v>
      </c>
      <c r="E1126" s="788" t="s">
        <v>1261</v>
      </c>
    </row>
    <row r="1127" spans="1:5" ht="22.05" hidden="1" customHeight="1" outlineLevel="1">
      <c r="A1127" s="218" t="s">
        <v>1298</v>
      </c>
      <c r="B1127" s="247">
        <v>1748179</v>
      </c>
      <c r="C1127" s="247">
        <f>SUM(C1128:C1130)</f>
        <v>1918179</v>
      </c>
      <c r="D1127" s="247">
        <f>SUM(D1128:D1130)</f>
        <v>2109996.9000000004</v>
      </c>
      <c r="E1127" s="247">
        <f>SUM(E1128:E1130)</f>
        <v>2320996.5900000008</v>
      </c>
    </row>
    <row r="1128" spans="1:5" ht="22.05" hidden="1" customHeight="1" outlineLevel="1">
      <c r="A1128" s="224" t="s">
        <v>1288</v>
      </c>
      <c r="B1128" s="239"/>
      <c r="C1128" s="239"/>
      <c r="D1128" s="239">
        <f t="shared" ref="D1128:E1128" si="442">C1128*1.1</f>
        <v>0</v>
      </c>
      <c r="E1128" s="239">
        <f t="shared" si="442"/>
        <v>0</v>
      </c>
    </row>
    <row r="1129" spans="1:5" ht="22.05" hidden="1" customHeight="1" outlineLevel="1">
      <c r="A1129" s="224" t="s">
        <v>1289</v>
      </c>
      <c r="B1129" s="239">
        <v>1748179</v>
      </c>
      <c r="C1129" s="239">
        <f>'Itemized Budget 2026-27'!E2627</f>
        <v>1918179</v>
      </c>
      <c r="D1129" s="239">
        <f t="shared" ref="D1129:E1129" si="443">C1129*1.1</f>
        <v>2109996.9000000004</v>
      </c>
      <c r="E1129" s="239">
        <f t="shared" si="443"/>
        <v>2320996.5900000008</v>
      </c>
    </row>
    <row r="1130" spans="1:5" ht="22.05" hidden="1" customHeight="1" outlineLevel="1">
      <c r="A1130" s="224" t="s">
        <v>1290</v>
      </c>
      <c r="B1130" s="239">
        <v>0</v>
      </c>
      <c r="C1130" s="239">
        <v>0</v>
      </c>
      <c r="D1130" s="239">
        <f t="shared" ref="D1130:E1130" si="444">C1130*1.1</f>
        <v>0</v>
      </c>
      <c r="E1130" s="239">
        <f t="shared" si="444"/>
        <v>0</v>
      </c>
    </row>
    <row r="1131" spans="1:5" ht="22.05" hidden="1" customHeight="1" outlineLevel="1">
      <c r="A1131" s="218" t="s">
        <v>1291</v>
      </c>
      <c r="B1131" s="247">
        <v>8500000</v>
      </c>
      <c r="C1131" s="247">
        <f>SUM(C1132:C1133)</f>
        <v>8500000</v>
      </c>
      <c r="D1131" s="247">
        <f t="shared" ref="D1131:E1131" si="445">SUM(D1132:D1133)</f>
        <v>9350000</v>
      </c>
      <c r="E1131" s="247">
        <f t="shared" si="445"/>
        <v>10285000</v>
      </c>
    </row>
    <row r="1132" spans="1:5" ht="22.05" hidden="1" customHeight="1" outlineLevel="1">
      <c r="A1132" s="224" t="s">
        <v>1299</v>
      </c>
      <c r="B1132" s="239">
        <v>8500000</v>
      </c>
      <c r="C1132" s="239">
        <f>'Itemized Budget 2026-27'!E2634</f>
        <v>8500000</v>
      </c>
      <c r="D1132" s="239">
        <f t="shared" ref="D1132:E1132" si="446">C1132*1.1</f>
        <v>9350000</v>
      </c>
      <c r="E1132" s="239">
        <f t="shared" si="446"/>
        <v>10285000</v>
      </c>
    </row>
    <row r="1133" spans="1:5" ht="22.05" hidden="1" customHeight="1" outlineLevel="1">
      <c r="A1133" s="224" t="s">
        <v>1300</v>
      </c>
      <c r="B1133" s="239">
        <v>0</v>
      </c>
      <c r="C1133" s="239">
        <v>0</v>
      </c>
      <c r="D1133" s="239">
        <f t="shared" ref="D1133:E1133" si="447">C1133*1.1</f>
        <v>0</v>
      </c>
      <c r="E1133" s="239">
        <f t="shared" si="447"/>
        <v>0</v>
      </c>
    </row>
    <row r="1134" spans="1:5" ht="22.05" hidden="1" customHeight="1" outlineLevel="1">
      <c r="A1134" s="218" t="s">
        <v>1301</v>
      </c>
      <c r="B1134" s="247">
        <v>10248179</v>
      </c>
      <c r="C1134" s="247">
        <f>C1127+C1131</f>
        <v>10418179</v>
      </c>
      <c r="D1134" s="247">
        <f>D1127+D1131</f>
        <v>11459996.9</v>
      </c>
      <c r="E1134" s="247">
        <f>E1127+E1131</f>
        <v>12605996.59</v>
      </c>
    </row>
    <row r="1135" spans="1:5" ht="22.05" hidden="1" customHeight="1" outlineLevel="1">
      <c r="A1135" s="218"/>
      <c r="B1135" s="244"/>
      <c r="C1135" s="244"/>
      <c r="D1135" s="244"/>
      <c r="E1135" s="244"/>
    </row>
    <row r="1136" spans="1:5" ht="22.05" hidden="1" customHeight="1" outlineLevel="1">
      <c r="A1136" s="218"/>
      <c r="B1136" s="244"/>
      <c r="C1136" s="244"/>
      <c r="D1136" s="244"/>
      <c r="E1136" s="244"/>
    </row>
    <row r="1137" spans="1:5" ht="22.05" hidden="1" customHeight="1" outlineLevel="1">
      <c r="A1137" s="218" t="s">
        <v>1452</v>
      </c>
      <c r="B1137" s="209"/>
      <c r="C1137" s="209"/>
      <c r="D1137" s="209"/>
      <c r="E1137" s="209"/>
    </row>
    <row r="1138" spans="1:5" ht="22.05" hidden="1" customHeight="1" outlineLevel="1">
      <c r="A1138" s="218" t="s">
        <v>1436</v>
      </c>
      <c r="B1138" s="259"/>
      <c r="C1138" s="259"/>
      <c r="D1138" s="244"/>
      <c r="E1138" s="244"/>
    </row>
    <row r="1139" spans="1:5" ht="22.05" hidden="1" customHeight="1" outlineLevel="1">
      <c r="A1139" s="210" t="s">
        <v>1287</v>
      </c>
      <c r="B1139" s="822" t="s">
        <v>1257</v>
      </c>
      <c r="C1139" s="822" t="s">
        <v>1258</v>
      </c>
      <c r="D1139" s="824" t="s">
        <v>1259</v>
      </c>
      <c r="E1139" s="825"/>
    </row>
    <row r="1140" spans="1:5" ht="22.05" hidden="1" customHeight="1" outlineLevel="1">
      <c r="A1140" s="211"/>
      <c r="B1140" s="823"/>
      <c r="C1140" s="823"/>
      <c r="D1140" s="788" t="s">
        <v>1260</v>
      </c>
      <c r="E1140" s="788" t="s">
        <v>1261</v>
      </c>
    </row>
    <row r="1141" spans="1:5" ht="22.05" hidden="1" customHeight="1" outlineLevel="1">
      <c r="A1141" s="218" t="s">
        <v>1298</v>
      </c>
      <c r="B1141" s="247">
        <v>1690325</v>
      </c>
      <c r="C1141" s="247">
        <f>SUM(C1142:C1144)</f>
        <v>1382185</v>
      </c>
      <c r="D1141" s="247">
        <f>SUM(D1142:D1144)</f>
        <v>1520403.5000000002</v>
      </c>
      <c r="E1141" s="247">
        <f>SUM(E1142:E1144)</f>
        <v>1672443.8500000006</v>
      </c>
    </row>
    <row r="1142" spans="1:5" ht="22.05" hidden="1" customHeight="1" outlineLevel="1">
      <c r="A1142" s="224" t="s">
        <v>1288</v>
      </c>
      <c r="B1142" s="239"/>
      <c r="C1142" s="239"/>
      <c r="D1142" s="239">
        <f t="shared" ref="D1142:E1142" si="448">C1142*1.1</f>
        <v>0</v>
      </c>
      <c r="E1142" s="239">
        <f t="shared" si="448"/>
        <v>0</v>
      </c>
    </row>
    <row r="1143" spans="1:5" ht="22.05" hidden="1" customHeight="1" outlineLevel="1">
      <c r="A1143" s="224" t="s">
        <v>1289</v>
      </c>
      <c r="B1143" s="239">
        <v>1690325</v>
      </c>
      <c r="C1143" s="239">
        <f>'Itemized Budget 2026-27'!E2651-'Itemized Budget 2026-27'!E2649</f>
        <v>1114772</v>
      </c>
      <c r="D1143" s="239">
        <f t="shared" ref="D1143:E1143" si="449">C1143*1.1</f>
        <v>1226249.2000000002</v>
      </c>
      <c r="E1143" s="239">
        <f t="shared" si="449"/>
        <v>1348874.1200000003</v>
      </c>
    </row>
    <row r="1144" spans="1:5" ht="22.05" hidden="1" customHeight="1" outlineLevel="1">
      <c r="A1144" s="224" t="s">
        <v>1290</v>
      </c>
      <c r="B1144" s="239"/>
      <c r="C1144" s="239">
        <f>'Itemized Budget 2026-27'!E2649</f>
        <v>267413</v>
      </c>
      <c r="D1144" s="239">
        <f t="shared" ref="D1144:E1144" si="450">C1144*1.1</f>
        <v>294154.30000000005</v>
      </c>
      <c r="E1144" s="239">
        <f t="shared" si="450"/>
        <v>323569.7300000001</v>
      </c>
    </row>
    <row r="1145" spans="1:5" ht="22.05" hidden="1" customHeight="1" outlineLevel="1">
      <c r="A1145" s="218" t="s">
        <v>1291</v>
      </c>
      <c r="B1145" s="247">
        <v>0</v>
      </c>
      <c r="C1145" s="247">
        <f>SUM(C1146:C1147)</f>
        <v>0</v>
      </c>
      <c r="D1145" s="247">
        <f t="shared" ref="D1145:E1145" si="451">SUM(D1146:D1147)</f>
        <v>0</v>
      </c>
      <c r="E1145" s="247">
        <f t="shared" si="451"/>
        <v>0</v>
      </c>
    </row>
    <row r="1146" spans="1:5" ht="22.05" hidden="1" customHeight="1" outlineLevel="1">
      <c r="A1146" s="224" t="s">
        <v>1299</v>
      </c>
      <c r="B1146" s="239">
        <v>0</v>
      </c>
      <c r="C1146" s="239">
        <v>0</v>
      </c>
      <c r="D1146" s="239">
        <f t="shared" ref="D1146:E1146" si="452">C1146*1.1</f>
        <v>0</v>
      </c>
      <c r="E1146" s="239">
        <f t="shared" si="452"/>
        <v>0</v>
      </c>
    </row>
    <row r="1147" spans="1:5" ht="22.05" hidden="1" customHeight="1" outlineLevel="1">
      <c r="A1147" s="224" t="s">
        <v>1300</v>
      </c>
      <c r="B1147" s="239">
        <v>0</v>
      </c>
      <c r="C1147" s="239">
        <v>0</v>
      </c>
      <c r="D1147" s="239">
        <f t="shared" ref="D1147:E1147" si="453">C1147*1.1</f>
        <v>0</v>
      </c>
      <c r="E1147" s="239">
        <f t="shared" si="453"/>
        <v>0</v>
      </c>
    </row>
    <row r="1148" spans="1:5" ht="22.05" hidden="1" customHeight="1" outlineLevel="1">
      <c r="A1148" s="218" t="s">
        <v>1301</v>
      </c>
      <c r="B1148" s="247">
        <v>1690325</v>
      </c>
      <c r="C1148" s="247">
        <f>C1141+C1145</f>
        <v>1382185</v>
      </c>
      <c r="D1148" s="247">
        <f>D1141+D1145</f>
        <v>1520403.5000000002</v>
      </c>
      <c r="E1148" s="247">
        <f>E1141+E1145</f>
        <v>1672443.8500000006</v>
      </c>
    </row>
    <row r="1149" spans="1:5" ht="22.05" hidden="1" customHeight="1" outlineLevel="1">
      <c r="A1149" s="201"/>
      <c r="B1149" s="244"/>
      <c r="C1149" s="244"/>
      <c r="D1149" s="244"/>
      <c r="E1149" s="244"/>
    </row>
    <row r="1150" spans="1:5" ht="22.05" hidden="1" customHeight="1" outlineLevel="1">
      <c r="B1150" s="209"/>
      <c r="C1150" s="209"/>
      <c r="D1150" s="209"/>
      <c r="E1150" s="209"/>
    </row>
    <row r="1151" spans="1:5" ht="22.05" hidden="1" customHeight="1" outlineLevel="1">
      <c r="A1151" s="201" t="s">
        <v>1453</v>
      </c>
      <c r="B1151" s="244"/>
      <c r="C1151" s="244"/>
      <c r="D1151" s="244"/>
      <c r="E1151" s="244"/>
    </row>
    <row r="1152" spans="1:5" ht="22.05" hidden="1" customHeight="1" outlineLevel="1">
      <c r="A1152" s="205" t="s">
        <v>1454</v>
      </c>
      <c r="B1152" s="244"/>
      <c r="C1152" s="244"/>
      <c r="D1152" s="244"/>
      <c r="E1152" s="244"/>
    </row>
    <row r="1153" spans="1:5" ht="22.05" hidden="1" customHeight="1" outlineLevel="1">
      <c r="A1153" s="210" t="s">
        <v>1287</v>
      </c>
      <c r="B1153" s="822" t="s">
        <v>1257</v>
      </c>
      <c r="C1153" s="822" t="s">
        <v>1258</v>
      </c>
      <c r="D1153" s="824" t="s">
        <v>1259</v>
      </c>
      <c r="E1153" s="825"/>
    </row>
    <row r="1154" spans="1:5" ht="22.05" hidden="1" customHeight="1" outlineLevel="1">
      <c r="A1154" s="211"/>
      <c r="B1154" s="823"/>
      <c r="C1154" s="823"/>
      <c r="D1154" s="788" t="s">
        <v>1260</v>
      </c>
      <c r="E1154" s="788" t="s">
        <v>1261</v>
      </c>
    </row>
    <row r="1155" spans="1:5" ht="22.05" hidden="1" customHeight="1" outlineLevel="1">
      <c r="A1155" s="218" t="s">
        <v>1298</v>
      </c>
      <c r="B1155" s="247">
        <v>12306274.4056141</v>
      </c>
      <c r="C1155" s="247">
        <f>SUM(C1156:C1158)</f>
        <v>15909218</v>
      </c>
      <c r="D1155" s="247">
        <f>SUM(D1156:D1158)</f>
        <v>17500139.800000001</v>
      </c>
      <c r="E1155" s="247">
        <f>SUM(E1156:E1158)</f>
        <v>19250153.780000001</v>
      </c>
    </row>
    <row r="1156" spans="1:5" ht="22.05" hidden="1" customHeight="1" outlineLevel="1">
      <c r="A1156" s="224" t="s">
        <v>1288</v>
      </c>
      <c r="B1156" s="239">
        <v>8686351.4056141209</v>
      </c>
      <c r="C1156" s="239">
        <f>'Itemized Budget 2026-27'!E2658</f>
        <v>8706351</v>
      </c>
      <c r="D1156" s="239">
        <f t="shared" ref="D1156:E1156" si="454">C1156*1.1</f>
        <v>9576986.1000000015</v>
      </c>
      <c r="E1156" s="239">
        <f t="shared" si="454"/>
        <v>10534684.710000003</v>
      </c>
    </row>
    <row r="1157" spans="1:5" ht="22.05" hidden="1" customHeight="1" outlineLevel="1">
      <c r="A1157" s="224" t="s">
        <v>1289</v>
      </c>
      <c r="B1157" s="239">
        <v>3619923</v>
      </c>
      <c r="C1157" s="239">
        <f>'Itemized Budget 2026-27'!E2677-'Itemized Budget 2026-27'!E2658</f>
        <v>7202867</v>
      </c>
      <c r="D1157" s="239">
        <f t="shared" ref="D1157:E1157" si="455">C1157*1.1</f>
        <v>7923153.7000000002</v>
      </c>
      <c r="E1157" s="239">
        <f t="shared" si="455"/>
        <v>8715469.0700000003</v>
      </c>
    </row>
    <row r="1158" spans="1:5" ht="22.05" hidden="1" customHeight="1" outlineLevel="1">
      <c r="A1158" s="224" t="s">
        <v>1290</v>
      </c>
      <c r="B1158" s="239"/>
      <c r="C1158" s="239"/>
      <c r="D1158" s="239">
        <f t="shared" ref="D1158:E1158" si="456">C1158*1.1</f>
        <v>0</v>
      </c>
      <c r="E1158" s="239">
        <f t="shared" si="456"/>
        <v>0</v>
      </c>
    </row>
    <row r="1159" spans="1:5" ht="22.05" hidden="1" customHeight="1" outlineLevel="1">
      <c r="A1159" s="218" t="s">
        <v>1291</v>
      </c>
      <c r="B1159" s="247">
        <v>50000000</v>
      </c>
      <c r="C1159" s="247">
        <f>SUM(C1160:C1161)</f>
        <v>50000000</v>
      </c>
      <c r="D1159" s="247">
        <f t="shared" ref="D1159:E1159" si="457">SUM(D1160:D1161)</f>
        <v>55000000.000000007</v>
      </c>
      <c r="E1159" s="247">
        <f t="shared" si="457"/>
        <v>60500000.000000015</v>
      </c>
    </row>
    <row r="1160" spans="1:5" ht="22.05" hidden="1" customHeight="1" outlineLevel="1">
      <c r="A1160" s="224" t="s">
        <v>1299</v>
      </c>
      <c r="B1160" s="239">
        <v>50000000</v>
      </c>
      <c r="C1160" s="239">
        <f>'Itemized Budget 2026-27'!E2682</f>
        <v>50000000</v>
      </c>
      <c r="D1160" s="239">
        <f t="shared" ref="D1160:E1160" si="458">C1160*1.1</f>
        <v>55000000.000000007</v>
      </c>
      <c r="E1160" s="239">
        <f t="shared" si="458"/>
        <v>60500000.000000015</v>
      </c>
    </row>
    <row r="1161" spans="1:5" ht="22.05" hidden="1" customHeight="1" outlineLevel="1">
      <c r="A1161" s="224" t="s">
        <v>1300</v>
      </c>
      <c r="B1161" s="239">
        <v>0</v>
      </c>
      <c r="C1161" s="239">
        <v>0</v>
      </c>
      <c r="D1161" s="239">
        <f t="shared" ref="D1161:E1161" si="459">C1161*1.1</f>
        <v>0</v>
      </c>
      <c r="E1161" s="239">
        <f t="shared" si="459"/>
        <v>0</v>
      </c>
    </row>
    <row r="1162" spans="1:5" ht="22.05" hidden="1" customHeight="1" outlineLevel="1">
      <c r="A1162" s="218" t="s">
        <v>1301</v>
      </c>
      <c r="B1162" s="247">
        <v>62306274.4056141</v>
      </c>
      <c r="C1162" s="247">
        <f>C1155+C1159</f>
        <v>65909218</v>
      </c>
      <c r="D1162" s="247">
        <f>D1155+D1159</f>
        <v>72500139.800000012</v>
      </c>
      <c r="E1162" s="247">
        <f>E1155+E1159</f>
        <v>79750153.780000016</v>
      </c>
    </row>
    <row r="1163" spans="1:5" ht="22.05" hidden="1" customHeight="1" outlineLevel="1">
      <c r="B1163" s="209"/>
      <c r="C1163" s="209"/>
      <c r="D1163" s="209"/>
      <c r="E1163" s="209"/>
    </row>
    <row r="1164" spans="1:5" ht="22.05" hidden="1" customHeight="1" outlineLevel="1">
      <c r="B1164" s="209"/>
      <c r="C1164" s="209"/>
      <c r="D1164" s="209"/>
      <c r="E1164" s="209"/>
    </row>
    <row r="1165" spans="1:5" ht="22.05" hidden="1" customHeight="1" outlineLevel="1">
      <c r="A1165" s="201" t="s">
        <v>1455</v>
      </c>
      <c r="B1165" s="244"/>
      <c r="C1165" s="244"/>
      <c r="D1165" s="244"/>
      <c r="E1165" s="244"/>
    </row>
    <row r="1166" spans="1:5" s="201" customFormat="1" ht="22.05" hidden="1" customHeight="1" outlineLevel="1">
      <c r="A1166" s="205" t="s">
        <v>1456</v>
      </c>
      <c r="B1166" s="244"/>
      <c r="C1166" s="244"/>
      <c r="D1166" s="244"/>
      <c r="E1166" s="244"/>
    </row>
    <row r="1167" spans="1:5" ht="22.05" hidden="1" customHeight="1" outlineLevel="1">
      <c r="A1167" s="210" t="s">
        <v>1287</v>
      </c>
      <c r="B1167" s="822" t="s">
        <v>1257</v>
      </c>
      <c r="C1167" s="822" t="s">
        <v>1258</v>
      </c>
      <c r="D1167" s="824" t="s">
        <v>1259</v>
      </c>
      <c r="E1167" s="825"/>
    </row>
    <row r="1168" spans="1:5" ht="22.05" hidden="1" customHeight="1" outlineLevel="1">
      <c r="A1168" s="211"/>
      <c r="B1168" s="823"/>
      <c r="C1168" s="823"/>
      <c r="D1168" s="788" t="s">
        <v>1260</v>
      </c>
      <c r="E1168" s="788" t="s">
        <v>1261</v>
      </c>
    </row>
    <row r="1169" spans="1:5" ht="22.05" hidden="1" customHeight="1" outlineLevel="1">
      <c r="A1169" s="218" t="s">
        <v>1298</v>
      </c>
      <c r="B1169" s="247">
        <v>10431462</v>
      </c>
      <c r="C1169" s="247">
        <f>SUM(C1170:C1172)</f>
        <v>12849212</v>
      </c>
      <c r="D1169" s="247">
        <f>SUM(D1170:D1172)</f>
        <v>14134133.200000001</v>
      </c>
      <c r="E1169" s="247">
        <f>SUM(E1170:E1172)</f>
        <v>15547546.520000001</v>
      </c>
    </row>
    <row r="1170" spans="1:5" s="201" customFormat="1" ht="22.05" hidden="1" customHeight="1" outlineLevel="1">
      <c r="A1170" s="224" t="s">
        <v>1288</v>
      </c>
      <c r="B1170" s="239"/>
      <c r="C1170" s="239"/>
      <c r="D1170" s="239">
        <f t="shared" ref="D1170:E1170" si="460">C1170*1.1</f>
        <v>0</v>
      </c>
      <c r="E1170" s="239">
        <f t="shared" si="460"/>
        <v>0</v>
      </c>
    </row>
    <row r="1171" spans="1:5" s="201" customFormat="1" ht="22.05" hidden="1" customHeight="1" outlineLevel="1">
      <c r="A1171" s="224" t="s">
        <v>1289</v>
      </c>
      <c r="B1171" s="239">
        <v>8451462</v>
      </c>
      <c r="C1171" s="239">
        <f>'Itemized Budget 2026-27'!E2708-'Itemized Budget 2026-27'!E2706-'Itemized Budget 2026-27'!E2704</f>
        <v>8869212</v>
      </c>
      <c r="D1171" s="239">
        <f t="shared" ref="D1171:E1171" si="461">C1171*1.1</f>
        <v>9756133.2000000011</v>
      </c>
      <c r="E1171" s="239">
        <f t="shared" si="461"/>
        <v>10731746.520000001</v>
      </c>
    </row>
    <row r="1172" spans="1:5" ht="22.05" hidden="1" customHeight="1" outlineLevel="1">
      <c r="A1172" s="224" t="s">
        <v>1290</v>
      </c>
      <c r="B1172" s="239">
        <v>1980000</v>
      </c>
      <c r="C1172" s="239">
        <f>'Itemized Budget 2026-27'!E2706+'Itemized Budget 2026-27'!E2704</f>
        <v>3980000</v>
      </c>
      <c r="D1172" s="239">
        <f t="shared" ref="D1172:E1172" si="462">C1172*1.1</f>
        <v>4378000</v>
      </c>
      <c r="E1172" s="239">
        <f t="shared" si="462"/>
        <v>4815800</v>
      </c>
    </row>
    <row r="1173" spans="1:5" ht="22.05" hidden="1" customHeight="1" outlineLevel="1">
      <c r="A1173" s="218" t="s">
        <v>1291</v>
      </c>
      <c r="B1173" s="247">
        <v>69000000</v>
      </c>
      <c r="C1173" s="247">
        <f>SUM(C1174:C1175)</f>
        <v>32000000</v>
      </c>
      <c r="D1173" s="247">
        <f t="shared" ref="D1173:E1173" si="463">SUM(D1174:D1175)</f>
        <v>35200000</v>
      </c>
      <c r="E1173" s="247">
        <f t="shared" si="463"/>
        <v>38720000</v>
      </c>
    </row>
    <row r="1174" spans="1:5" ht="22.05" hidden="1" customHeight="1" outlineLevel="1">
      <c r="A1174" s="224" t="s">
        <v>1299</v>
      </c>
      <c r="B1174" s="239">
        <v>69000000</v>
      </c>
      <c r="C1174" s="239">
        <f>'Itemized Budget 2026-27'!E2717</f>
        <v>32000000</v>
      </c>
      <c r="D1174" s="239">
        <f t="shared" ref="D1174:E1174" si="464">C1174*1.1</f>
        <v>35200000</v>
      </c>
      <c r="E1174" s="239">
        <f t="shared" si="464"/>
        <v>38720000</v>
      </c>
    </row>
    <row r="1175" spans="1:5" ht="22.05" hidden="1" customHeight="1" outlineLevel="1">
      <c r="A1175" s="224" t="s">
        <v>1300</v>
      </c>
      <c r="B1175" s="239">
        <v>0</v>
      </c>
      <c r="C1175" s="239">
        <v>0</v>
      </c>
      <c r="D1175" s="239">
        <f t="shared" ref="D1175:E1175" si="465">C1175*1.1</f>
        <v>0</v>
      </c>
      <c r="E1175" s="239">
        <f t="shared" si="465"/>
        <v>0</v>
      </c>
    </row>
    <row r="1176" spans="1:5" ht="22.05" hidden="1" customHeight="1" outlineLevel="1">
      <c r="A1176" s="218" t="s">
        <v>1301</v>
      </c>
      <c r="B1176" s="247">
        <v>79431462</v>
      </c>
      <c r="C1176" s="247">
        <f>C1169+C1173</f>
        <v>44849212</v>
      </c>
      <c r="D1176" s="247">
        <f>D1169+D1173</f>
        <v>49334133.200000003</v>
      </c>
      <c r="E1176" s="247">
        <f>E1169+E1173</f>
        <v>54267546.520000003</v>
      </c>
    </row>
    <row r="1177" spans="1:5" ht="22.05" hidden="1" customHeight="1" outlineLevel="1">
      <c r="B1177" s="209"/>
      <c r="C1177" s="209"/>
      <c r="D1177" s="209"/>
      <c r="E1177" s="209"/>
    </row>
    <row r="1178" spans="1:5" ht="22.05" hidden="1" customHeight="1" outlineLevel="1">
      <c r="B1178" s="209"/>
      <c r="C1178" s="209"/>
      <c r="D1178" s="209"/>
      <c r="E1178" s="209"/>
    </row>
    <row r="1179" spans="1:5" ht="22.05" hidden="1" customHeight="1" outlineLevel="1">
      <c r="A1179" s="218" t="s">
        <v>1457</v>
      </c>
      <c r="B1179" s="244"/>
      <c r="C1179" s="244"/>
      <c r="D1179" s="244"/>
      <c r="E1179" s="244"/>
    </row>
    <row r="1180" spans="1:5" ht="22.05" hidden="1" customHeight="1" outlineLevel="1">
      <c r="A1180" s="210" t="s">
        <v>1287</v>
      </c>
      <c r="B1180" s="822" t="s">
        <v>1257</v>
      </c>
      <c r="C1180" s="822" t="s">
        <v>1258</v>
      </c>
      <c r="D1180" s="824" t="s">
        <v>1259</v>
      </c>
      <c r="E1180" s="825"/>
    </row>
    <row r="1181" spans="1:5" ht="22.05" hidden="1" customHeight="1" outlineLevel="1">
      <c r="A1181" s="211"/>
      <c r="B1181" s="823"/>
      <c r="C1181" s="823"/>
      <c r="D1181" s="788" t="s">
        <v>1260</v>
      </c>
      <c r="E1181" s="788" t="s">
        <v>1261</v>
      </c>
    </row>
    <row r="1182" spans="1:5" ht="22.05" hidden="1" customHeight="1" outlineLevel="1">
      <c r="A1182" s="218" t="s">
        <v>1298</v>
      </c>
      <c r="B1182" s="247">
        <v>9596860.8115968797</v>
      </c>
      <c r="C1182" s="247">
        <f>SUM(C1183:C1185)</f>
        <v>10897861</v>
      </c>
      <c r="D1182" s="247">
        <f>SUM(D1183:D1185)</f>
        <v>11987647.100000001</v>
      </c>
      <c r="E1182" s="247">
        <f>SUM(E1183:E1185)</f>
        <v>13186411.810000002</v>
      </c>
    </row>
    <row r="1183" spans="1:5" ht="22.05" hidden="1" customHeight="1" outlineLevel="1">
      <c r="A1183" s="224" t="s">
        <v>1288</v>
      </c>
      <c r="B1183" s="239">
        <v>4396775.8115968797</v>
      </c>
      <c r="C1183" s="245">
        <f>'Itemized Budget 2026-27'!E2722</f>
        <v>4496776</v>
      </c>
      <c r="D1183" s="239">
        <f t="shared" ref="D1183:E1183" si="466">C1183*1.1</f>
        <v>4946453.6000000006</v>
      </c>
      <c r="E1183" s="239">
        <f t="shared" si="466"/>
        <v>5441098.9600000009</v>
      </c>
    </row>
    <row r="1184" spans="1:5" ht="22.05" hidden="1" customHeight="1" outlineLevel="1">
      <c r="A1184" s="224" t="s">
        <v>1289</v>
      </c>
      <c r="B1184" s="239">
        <v>4030085</v>
      </c>
      <c r="C1184" s="239">
        <f>'Itemized Budget 2026-27'!E2735-'Itemized Budget 2026-27'!E2722</f>
        <v>6401085</v>
      </c>
      <c r="D1184" s="239">
        <f t="shared" ref="D1184:E1184" si="467">C1184*1.1</f>
        <v>7041193.5000000009</v>
      </c>
      <c r="E1184" s="239">
        <f t="shared" si="467"/>
        <v>7745312.8500000015</v>
      </c>
    </row>
    <row r="1185" spans="1:5" ht="22.05" hidden="1" customHeight="1" outlineLevel="1">
      <c r="A1185" s="224" t="s">
        <v>1290</v>
      </c>
      <c r="B1185" s="239">
        <v>1170000</v>
      </c>
      <c r="C1185" s="239"/>
      <c r="D1185" s="239">
        <f t="shared" ref="D1185:E1185" si="468">C1185*1.1</f>
        <v>0</v>
      </c>
      <c r="E1185" s="239">
        <f t="shared" si="468"/>
        <v>0</v>
      </c>
    </row>
    <row r="1186" spans="1:5" ht="22.05" hidden="1" customHeight="1" outlineLevel="1">
      <c r="A1186" s="218" t="s">
        <v>1291</v>
      </c>
      <c r="B1186" s="247">
        <v>0</v>
      </c>
      <c r="C1186" s="247">
        <f>SUM(C1187:C1188)</f>
        <v>0</v>
      </c>
      <c r="D1186" s="247">
        <f t="shared" ref="D1186:E1186" si="469">SUM(D1187:D1188)</f>
        <v>0</v>
      </c>
      <c r="E1186" s="247">
        <f t="shared" si="469"/>
        <v>0</v>
      </c>
    </row>
    <row r="1187" spans="1:5" ht="22.05" hidden="1" customHeight="1" outlineLevel="1">
      <c r="A1187" s="224" t="s">
        <v>1299</v>
      </c>
      <c r="B1187" s="239"/>
      <c r="C1187" s="239"/>
      <c r="D1187" s="239">
        <f t="shared" ref="D1187:E1187" si="470">C1187*1.1</f>
        <v>0</v>
      </c>
      <c r="E1187" s="239">
        <f t="shared" si="470"/>
        <v>0</v>
      </c>
    </row>
    <row r="1188" spans="1:5" ht="22.05" hidden="1" customHeight="1" outlineLevel="1">
      <c r="A1188" s="224" t="s">
        <v>1300</v>
      </c>
      <c r="B1188" s="239">
        <v>0</v>
      </c>
      <c r="C1188" s="239">
        <v>0</v>
      </c>
      <c r="D1188" s="239">
        <f t="shared" ref="D1188:E1188" si="471">C1188*1.1</f>
        <v>0</v>
      </c>
      <c r="E1188" s="239">
        <f t="shared" si="471"/>
        <v>0</v>
      </c>
    </row>
    <row r="1189" spans="1:5" ht="22.05" hidden="1" customHeight="1" outlineLevel="1">
      <c r="A1189" s="218" t="s">
        <v>1301</v>
      </c>
      <c r="B1189" s="247">
        <v>9596860.8115968797</v>
      </c>
      <c r="C1189" s="247">
        <f>C1182+C1186</f>
        <v>10897861</v>
      </c>
      <c r="D1189" s="247">
        <f>D1182+D1186</f>
        <v>11987647.100000001</v>
      </c>
      <c r="E1189" s="247">
        <f>E1182+E1186</f>
        <v>13186411.810000002</v>
      </c>
    </row>
    <row r="1190" spans="1:5" ht="22.05" hidden="1" customHeight="1" outlineLevel="1">
      <c r="A1190" s="201"/>
      <c r="B1190" s="244"/>
      <c r="C1190" s="244"/>
      <c r="D1190" s="244"/>
      <c r="E1190" s="244"/>
    </row>
    <row r="1191" spans="1:5" ht="22.05" hidden="1" customHeight="1" outlineLevel="1">
      <c r="A1191" s="201" t="s">
        <v>1458</v>
      </c>
      <c r="B1191" s="244"/>
      <c r="C1191" s="244"/>
      <c r="D1191" s="244"/>
      <c r="E1191" s="244"/>
    </row>
    <row r="1192" spans="1:5" ht="22.05" hidden="1" customHeight="1" outlineLevel="1">
      <c r="A1192" s="210" t="s">
        <v>1287</v>
      </c>
      <c r="B1192" s="822" t="s">
        <v>1257</v>
      </c>
      <c r="C1192" s="822" t="s">
        <v>1258</v>
      </c>
      <c r="D1192" s="824" t="s">
        <v>1259</v>
      </c>
      <c r="E1192" s="825"/>
    </row>
    <row r="1193" spans="1:5" ht="22.05" hidden="1" customHeight="1" outlineLevel="1">
      <c r="A1193" s="211"/>
      <c r="B1193" s="823"/>
      <c r="C1193" s="823"/>
      <c r="D1193" s="788" t="s">
        <v>1260</v>
      </c>
      <c r="E1193" s="788" t="s">
        <v>1261</v>
      </c>
    </row>
    <row r="1194" spans="1:5" ht="22.05" hidden="1" customHeight="1" outlineLevel="1">
      <c r="A1194" s="218" t="s">
        <v>1298</v>
      </c>
      <c r="B1194" s="247">
        <v>5654695</v>
      </c>
      <c r="C1194" s="247">
        <f>SUM(C1195:C1197)</f>
        <v>6648856</v>
      </c>
      <c r="D1194" s="247">
        <f>SUM(D1195:D1197)</f>
        <v>7313741.6000000006</v>
      </c>
      <c r="E1194" s="247">
        <f>SUM(E1195:E1197)</f>
        <v>8045115.7600000016</v>
      </c>
    </row>
    <row r="1195" spans="1:5" ht="22.05" hidden="1" customHeight="1" outlineLevel="1">
      <c r="A1195" s="224" t="s">
        <v>1288</v>
      </c>
      <c r="B1195" s="239"/>
      <c r="C1195" s="239"/>
      <c r="D1195" s="239">
        <f t="shared" ref="D1195:E1195" si="472">C1195*1.1</f>
        <v>0</v>
      </c>
      <c r="E1195" s="239">
        <f t="shared" si="472"/>
        <v>0</v>
      </c>
    </row>
    <row r="1196" spans="1:5" ht="22.05" hidden="1" customHeight="1" outlineLevel="1">
      <c r="A1196" s="224" t="s">
        <v>1289</v>
      </c>
      <c r="B1196" s="239">
        <v>5654695</v>
      </c>
      <c r="C1196" s="239">
        <f>'Itemized Budget 2026-27'!E2751</f>
        <v>6648856</v>
      </c>
      <c r="D1196" s="239">
        <f t="shared" ref="D1196:E1196" si="473">C1196*1.1</f>
        <v>7313741.6000000006</v>
      </c>
      <c r="E1196" s="239">
        <f t="shared" si="473"/>
        <v>8045115.7600000016</v>
      </c>
    </row>
    <row r="1197" spans="1:5" ht="22.05" hidden="1" customHeight="1" outlineLevel="1">
      <c r="A1197" s="224" t="s">
        <v>1290</v>
      </c>
      <c r="B1197" s="239">
        <v>0</v>
      </c>
      <c r="C1197" s="239">
        <v>0</v>
      </c>
      <c r="D1197" s="239">
        <f t="shared" ref="D1197:E1197" si="474">C1197*1.1</f>
        <v>0</v>
      </c>
      <c r="E1197" s="239">
        <f t="shared" si="474"/>
        <v>0</v>
      </c>
    </row>
    <row r="1198" spans="1:5" ht="22.05" hidden="1" customHeight="1" outlineLevel="1">
      <c r="A1198" s="218" t="s">
        <v>1291</v>
      </c>
      <c r="B1198" s="247">
        <v>0</v>
      </c>
      <c r="C1198" s="247">
        <f>SUM(C1199:C1200)</f>
        <v>0</v>
      </c>
      <c r="D1198" s="247">
        <f t="shared" ref="D1198:E1198" si="475">SUM(D1199:D1200)</f>
        <v>0</v>
      </c>
      <c r="E1198" s="247">
        <f t="shared" si="475"/>
        <v>0</v>
      </c>
    </row>
    <row r="1199" spans="1:5" ht="22.05" hidden="1" customHeight="1" outlineLevel="1">
      <c r="A1199" s="224" t="s">
        <v>1299</v>
      </c>
      <c r="B1199" s="239"/>
      <c r="C1199" s="239"/>
      <c r="D1199" s="239">
        <f t="shared" ref="D1199:E1199" si="476">C1199*1.1</f>
        <v>0</v>
      </c>
      <c r="E1199" s="239">
        <f t="shared" si="476"/>
        <v>0</v>
      </c>
    </row>
    <row r="1200" spans="1:5" ht="22.05" hidden="1" customHeight="1" outlineLevel="1">
      <c r="A1200" s="224" t="s">
        <v>1300</v>
      </c>
      <c r="B1200" s="239"/>
      <c r="C1200" s="239"/>
      <c r="D1200" s="239">
        <f t="shared" ref="D1200:E1200" si="477">C1200*1.1</f>
        <v>0</v>
      </c>
      <c r="E1200" s="239">
        <f t="shared" si="477"/>
        <v>0</v>
      </c>
    </row>
    <row r="1201" spans="1:5" ht="22.05" hidden="1" customHeight="1" outlineLevel="1">
      <c r="A1201" s="218" t="s">
        <v>1301</v>
      </c>
      <c r="B1201" s="247">
        <v>5654695</v>
      </c>
      <c r="C1201" s="247">
        <f>C1194+C1198</f>
        <v>6648856</v>
      </c>
      <c r="D1201" s="247">
        <f>D1194+D1198</f>
        <v>7313741.6000000006</v>
      </c>
      <c r="E1201" s="247">
        <f>E1194+E1198</f>
        <v>8045115.7600000016</v>
      </c>
    </row>
    <row r="1202" spans="1:5" ht="22.05" hidden="1" customHeight="1" outlineLevel="1">
      <c r="A1202" s="201"/>
      <c r="B1202" s="244"/>
      <c r="C1202" s="244"/>
      <c r="D1202" s="244"/>
      <c r="E1202" s="244"/>
    </row>
    <row r="1203" spans="1:5" ht="22.05" hidden="1" customHeight="1" outlineLevel="1">
      <c r="A1203" s="201"/>
      <c r="B1203" s="244"/>
      <c r="C1203" s="244"/>
      <c r="D1203" s="244"/>
      <c r="E1203" s="244"/>
    </row>
    <row r="1204" spans="1:5" ht="22.05" hidden="1" customHeight="1" outlineLevel="1">
      <c r="A1204" s="201" t="s">
        <v>1459</v>
      </c>
      <c r="B1204" s="244"/>
      <c r="C1204" s="244"/>
      <c r="D1204" s="244"/>
      <c r="E1204" s="244"/>
    </row>
    <row r="1205" spans="1:5" ht="22.05" hidden="1" customHeight="1" outlineLevel="1">
      <c r="A1205" s="205" t="s">
        <v>1460</v>
      </c>
      <c r="B1205" s="244"/>
      <c r="C1205" s="244"/>
      <c r="D1205" s="244"/>
      <c r="E1205" s="244"/>
    </row>
    <row r="1206" spans="1:5" ht="22.05" hidden="1" customHeight="1" outlineLevel="1">
      <c r="A1206" s="210" t="s">
        <v>1287</v>
      </c>
      <c r="B1206" s="822" t="s">
        <v>1257</v>
      </c>
      <c r="C1206" s="822" t="s">
        <v>1258</v>
      </c>
      <c r="D1206" s="824" t="s">
        <v>1259</v>
      </c>
      <c r="E1206" s="825"/>
    </row>
    <row r="1207" spans="1:5" ht="22.05" hidden="1" customHeight="1" outlineLevel="1">
      <c r="A1207" s="211"/>
      <c r="B1207" s="823"/>
      <c r="C1207" s="823"/>
      <c r="D1207" s="788" t="s">
        <v>1260</v>
      </c>
      <c r="E1207" s="788" t="s">
        <v>1261</v>
      </c>
    </row>
    <row r="1208" spans="1:5" ht="22.05" hidden="1" customHeight="1" outlineLevel="1">
      <c r="A1208" s="218" t="s">
        <v>1298</v>
      </c>
      <c r="B1208" s="247">
        <v>18488449.9999981</v>
      </c>
      <c r="C1208" s="247">
        <f>SUM(C1209:C1211)</f>
        <v>12000000</v>
      </c>
      <c r="D1208" s="247">
        <f>SUM(D1209:D1211)</f>
        <v>13200000.000000002</v>
      </c>
      <c r="E1208" s="247">
        <f>SUM(E1209:E1211)</f>
        <v>14520000.000000004</v>
      </c>
    </row>
    <row r="1209" spans="1:5" ht="22.05" hidden="1" customHeight="1" outlineLevel="1">
      <c r="A1209" s="224" t="s">
        <v>1288</v>
      </c>
      <c r="B1209" s="239"/>
      <c r="C1209" s="239"/>
      <c r="D1209" s="239">
        <f t="shared" ref="D1209:E1209" si="478">C1209*1.1</f>
        <v>0</v>
      </c>
      <c r="E1209" s="239">
        <f t="shared" si="478"/>
        <v>0</v>
      </c>
    </row>
    <row r="1210" spans="1:5" ht="22.05" hidden="1" customHeight="1" outlineLevel="1">
      <c r="A1210" s="224" t="s">
        <v>1289</v>
      </c>
      <c r="B1210" s="239">
        <v>16818449.9999981</v>
      </c>
      <c r="C1210" s="239">
        <f>'Itemized Budget 2026-27'!E2784-'Itemized Budget 2026-27'!E2780</f>
        <v>10894000</v>
      </c>
      <c r="D1210" s="239">
        <f t="shared" ref="D1210:E1210" si="479">C1210*1.1</f>
        <v>11983400.000000002</v>
      </c>
      <c r="E1210" s="239">
        <f t="shared" si="479"/>
        <v>13181740.000000004</v>
      </c>
    </row>
    <row r="1211" spans="1:5" ht="22.05" hidden="1" customHeight="1" outlineLevel="1">
      <c r="A1211" s="224" t="s">
        <v>1290</v>
      </c>
      <c r="B1211" s="239">
        <v>1670000</v>
      </c>
      <c r="C1211" s="239">
        <f>'Itemized Budget 2026-27'!E2780</f>
        <v>1106000</v>
      </c>
      <c r="D1211" s="239">
        <f t="shared" ref="D1211:E1211" si="480">C1211*1.1</f>
        <v>1216600</v>
      </c>
      <c r="E1211" s="239">
        <f t="shared" si="480"/>
        <v>1338260</v>
      </c>
    </row>
    <row r="1212" spans="1:5" ht="22.05" hidden="1" customHeight="1" outlineLevel="1">
      <c r="A1212" s="218" t="s">
        <v>1291</v>
      </c>
      <c r="B1212" s="247">
        <v>0</v>
      </c>
      <c r="C1212" s="247">
        <f>SUM(C1213:C1214)</f>
        <v>0</v>
      </c>
      <c r="D1212" s="247">
        <f t="shared" ref="D1212:E1212" si="481">SUM(D1213:D1214)</f>
        <v>0</v>
      </c>
      <c r="E1212" s="247">
        <f t="shared" si="481"/>
        <v>0</v>
      </c>
    </row>
    <row r="1213" spans="1:5" ht="22.05" hidden="1" customHeight="1" outlineLevel="1">
      <c r="A1213" s="224" t="s">
        <v>1299</v>
      </c>
      <c r="B1213" s="239">
        <v>0</v>
      </c>
      <c r="C1213" s="239">
        <v>0</v>
      </c>
      <c r="D1213" s="239">
        <f t="shared" ref="D1213:E1213" si="482">C1213*1.1</f>
        <v>0</v>
      </c>
      <c r="E1213" s="239">
        <f t="shared" si="482"/>
        <v>0</v>
      </c>
    </row>
    <row r="1214" spans="1:5" ht="22.05" hidden="1" customHeight="1" outlineLevel="1">
      <c r="A1214" s="224" t="s">
        <v>1300</v>
      </c>
      <c r="B1214" s="239"/>
      <c r="C1214" s="239"/>
      <c r="D1214" s="239">
        <f t="shared" ref="D1214:E1214" si="483">C1214*1.1</f>
        <v>0</v>
      </c>
      <c r="E1214" s="239">
        <f t="shared" si="483"/>
        <v>0</v>
      </c>
    </row>
    <row r="1215" spans="1:5" ht="22.05" hidden="1" customHeight="1" outlineLevel="1">
      <c r="A1215" s="218" t="s">
        <v>1301</v>
      </c>
      <c r="B1215" s="247">
        <v>18488449.9999981</v>
      </c>
      <c r="C1215" s="247">
        <f>C1208+C1212</f>
        <v>12000000</v>
      </c>
      <c r="D1215" s="247">
        <f>D1208+D1212</f>
        <v>13200000.000000002</v>
      </c>
      <c r="E1215" s="247">
        <f>E1208+E1212</f>
        <v>14520000.000000004</v>
      </c>
    </row>
    <row r="1216" spans="1:5" ht="22.05" hidden="1" customHeight="1" outlineLevel="1">
      <c r="B1216" s="209"/>
      <c r="C1216" s="209"/>
      <c r="D1216" s="209"/>
      <c r="E1216" s="209"/>
    </row>
    <row r="1217" spans="1:5" ht="22.05" hidden="1" customHeight="1" outlineLevel="1">
      <c r="B1217" s="209"/>
      <c r="C1217" s="209"/>
      <c r="D1217" s="209"/>
      <c r="E1217" s="209"/>
    </row>
    <row r="1218" spans="1:5" ht="22.05" hidden="1" customHeight="1" outlineLevel="1">
      <c r="A1218" s="201" t="s">
        <v>1459</v>
      </c>
      <c r="B1218" s="244"/>
      <c r="C1218" s="244"/>
      <c r="D1218" s="244"/>
      <c r="E1218" s="244"/>
    </row>
    <row r="1219" spans="1:5" ht="22.05" hidden="1" customHeight="1" outlineLevel="1">
      <c r="A1219" s="205" t="s">
        <v>1461</v>
      </c>
      <c r="B1219" s="244"/>
      <c r="C1219" s="244"/>
      <c r="D1219" s="244"/>
      <c r="E1219" s="244"/>
    </row>
    <row r="1220" spans="1:5" ht="22.05" hidden="1" customHeight="1" outlineLevel="1">
      <c r="A1220" s="210" t="s">
        <v>1287</v>
      </c>
      <c r="B1220" s="822" t="s">
        <v>1257</v>
      </c>
      <c r="C1220" s="822" t="s">
        <v>1258</v>
      </c>
      <c r="D1220" s="824" t="s">
        <v>1259</v>
      </c>
      <c r="E1220" s="825"/>
    </row>
    <row r="1221" spans="1:5" ht="22.05" hidden="1" customHeight="1" outlineLevel="1">
      <c r="A1221" s="211"/>
      <c r="B1221" s="823"/>
      <c r="C1221" s="823"/>
      <c r="D1221" s="788" t="s">
        <v>1260</v>
      </c>
      <c r="E1221" s="788" t="s">
        <v>1261</v>
      </c>
    </row>
    <row r="1222" spans="1:5" ht="22.05" hidden="1" customHeight="1" outlineLevel="1">
      <c r="A1222" s="218" t="s">
        <v>1298</v>
      </c>
      <c r="B1222" s="247">
        <v>12614708</v>
      </c>
      <c r="C1222" s="247">
        <f>SUM(C1223:C1225)</f>
        <v>8119853</v>
      </c>
      <c r="D1222" s="247">
        <f>SUM(D1223:D1225)</f>
        <v>8931838.3000000007</v>
      </c>
      <c r="E1222" s="247">
        <f>SUM(E1223:E1225)</f>
        <v>9825022.1300000008</v>
      </c>
    </row>
    <row r="1223" spans="1:5" ht="22.05" hidden="1" customHeight="1" outlineLevel="1">
      <c r="A1223" s="224" t="s">
        <v>1288</v>
      </c>
      <c r="B1223" s="239"/>
      <c r="C1223" s="239"/>
      <c r="D1223" s="239">
        <f t="shared" ref="D1223:E1223" si="484">C1223*1.1</f>
        <v>0</v>
      </c>
      <c r="E1223" s="239">
        <f t="shared" si="484"/>
        <v>0</v>
      </c>
    </row>
    <row r="1224" spans="1:5" ht="22.05" hidden="1" customHeight="1" outlineLevel="1">
      <c r="A1224" s="224" t="s">
        <v>1289</v>
      </c>
      <c r="B1224" s="239">
        <v>12614708</v>
      </c>
      <c r="C1224" s="239">
        <f>'Itemized Budget 2026-27'!E2801</f>
        <v>8119853</v>
      </c>
      <c r="D1224" s="239">
        <f t="shared" ref="D1224:E1224" si="485">C1224*1.1</f>
        <v>8931838.3000000007</v>
      </c>
      <c r="E1224" s="239">
        <f t="shared" si="485"/>
        <v>9825022.1300000008</v>
      </c>
    </row>
    <row r="1225" spans="1:5" ht="22.05" hidden="1" customHeight="1" outlineLevel="1">
      <c r="A1225" s="224" t="s">
        <v>1290</v>
      </c>
      <c r="B1225" s="239">
        <v>0</v>
      </c>
      <c r="C1225" s="239">
        <v>0</v>
      </c>
      <c r="D1225" s="239">
        <f t="shared" ref="D1225:E1225" si="486">C1225*1.1</f>
        <v>0</v>
      </c>
      <c r="E1225" s="239">
        <f t="shared" si="486"/>
        <v>0</v>
      </c>
    </row>
    <row r="1226" spans="1:5" ht="22.05" hidden="1" customHeight="1" outlineLevel="1">
      <c r="A1226" s="218" t="s">
        <v>1291</v>
      </c>
      <c r="B1226" s="247">
        <v>114279</v>
      </c>
      <c r="C1226" s="247">
        <f>SUM(C1227:C1228)</f>
        <v>5836118</v>
      </c>
      <c r="D1226" s="247">
        <f t="shared" ref="D1226:E1226" si="487">SUM(D1227:D1228)</f>
        <v>6419729.8000000007</v>
      </c>
      <c r="E1226" s="247">
        <f t="shared" si="487"/>
        <v>7061702.7800000012</v>
      </c>
    </row>
    <row r="1227" spans="1:5" ht="22.05" hidden="1" customHeight="1" outlineLevel="1">
      <c r="A1227" s="224" t="s">
        <v>1299</v>
      </c>
      <c r="B1227" s="239">
        <v>114279</v>
      </c>
      <c r="C1227" s="239">
        <f>'Itemized Budget 2026-27'!E2809</f>
        <v>5836118</v>
      </c>
      <c r="D1227" s="239">
        <f t="shared" ref="D1227:E1227" si="488">C1227*1.1</f>
        <v>6419729.8000000007</v>
      </c>
      <c r="E1227" s="239">
        <f t="shared" si="488"/>
        <v>7061702.7800000012</v>
      </c>
    </row>
    <row r="1228" spans="1:5" ht="22.05" hidden="1" customHeight="1" outlineLevel="1">
      <c r="A1228" s="224" t="s">
        <v>1300</v>
      </c>
      <c r="B1228" s="239">
        <v>0</v>
      </c>
      <c r="C1228" s="239">
        <v>0</v>
      </c>
      <c r="D1228" s="239">
        <f t="shared" ref="D1228:E1228" si="489">C1228*1.1</f>
        <v>0</v>
      </c>
      <c r="E1228" s="239">
        <f t="shared" si="489"/>
        <v>0</v>
      </c>
    </row>
    <row r="1229" spans="1:5" ht="22.05" hidden="1" customHeight="1" outlineLevel="1">
      <c r="A1229" s="218" t="s">
        <v>1301</v>
      </c>
      <c r="B1229" s="247">
        <v>12728987</v>
      </c>
      <c r="C1229" s="247">
        <f>C1222+C1226</f>
        <v>13955971</v>
      </c>
      <c r="D1229" s="247">
        <f>D1222+D1226</f>
        <v>15351568.100000001</v>
      </c>
      <c r="E1229" s="247">
        <f>E1222+E1226</f>
        <v>16886724.910000004</v>
      </c>
    </row>
    <row r="1230" spans="1:5" ht="22.05" customHeight="1" collapsed="1">
      <c r="A1230" s="201"/>
      <c r="B1230" s="244"/>
      <c r="C1230" s="244"/>
      <c r="D1230" s="244"/>
      <c r="E1230" s="244"/>
    </row>
    <row r="1231" spans="1:5" ht="22.05" customHeight="1">
      <c r="A1231" s="201" t="s">
        <v>1462</v>
      </c>
      <c r="B1231" s="244"/>
      <c r="C1231" s="244"/>
      <c r="D1231" s="209"/>
      <c r="E1231" s="209"/>
    </row>
    <row r="1232" spans="1:5" ht="22.05" hidden="1" customHeight="1" outlineLevel="1">
      <c r="A1232" s="237"/>
      <c r="B1232" s="209"/>
      <c r="C1232" s="209"/>
      <c r="D1232" s="209"/>
      <c r="E1232" s="209"/>
    </row>
    <row r="1233" spans="1:5" ht="22.05" hidden="1" customHeight="1" outlineLevel="1">
      <c r="A1233" s="201" t="s">
        <v>1255</v>
      </c>
      <c r="B1233" s="209"/>
      <c r="C1233" s="209"/>
      <c r="D1233" s="209"/>
      <c r="E1233" s="209"/>
    </row>
    <row r="1234" spans="1:5" ht="22.05" hidden="1" customHeight="1" outlineLevel="1">
      <c r="A1234" s="210" t="s">
        <v>1256</v>
      </c>
      <c r="B1234" s="822" t="s">
        <v>1257</v>
      </c>
      <c r="C1234" s="822" t="s">
        <v>1258</v>
      </c>
      <c r="D1234" s="824" t="s">
        <v>1259</v>
      </c>
      <c r="E1234" s="825"/>
    </row>
    <row r="1235" spans="1:5" ht="22.05" hidden="1" customHeight="1" outlineLevel="1">
      <c r="A1235" s="211"/>
      <c r="B1235" s="823"/>
      <c r="C1235" s="823"/>
      <c r="D1235" s="788" t="s">
        <v>1260</v>
      </c>
      <c r="E1235" s="788" t="s">
        <v>1261</v>
      </c>
    </row>
    <row r="1236" spans="1:5" ht="22.05" hidden="1" customHeight="1" outlineLevel="1">
      <c r="A1236" s="212" t="s">
        <v>1463</v>
      </c>
      <c r="B1236" s="239">
        <v>95442822.140000001</v>
      </c>
      <c r="C1236" s="239">
        <f>C1279</f>
        <v>97442822.140000001</v>
      </c>
      <c r="D1236" s="239">
        <f t="shared" ref="D1236:E1236" si="490">D1279</f>
        <v>107187104.35400002</v>
      </c>
      <c r="E1236" s="239">
        <f t="shared" si="490"/>
        <v>117905814.78940003</v>
      </c>
    </row>
    <row r="1237" spans="1:5" ht="22.05" hidden="1" customHeight="1" outlineLevel="1">
      <c r="A1237" s="214" t="s">
        <v>1464</v>
      </c>
      <c r="B1237" s="240">
        <v>95442822.140000001</v>
      </c>
      <c r="C1237" s="240">
        <f>C1236</f>
        <v>97442822.140000001</v>
      </c>
      <c r="D1237" s="240">
        <f t="shared" ref="D1237:E1237" si="491">D1236</f>
        <v>107187104.35400002</v>
      </c>
      <c r="E1237" s="240">
        <f t="shared" si="491"/>
        <v>117905814.78940003</v>
      </c>
    </row>
    <row r="1238" spans="1:5" ht="22.05" hidden="1" customHeight="1" outlineLevel="1">
      <c r="A1238" s="212" t="s">
        <v>1465</v>
      </c>
      <c r="B1238" s="239">
        <v>47757306</v>
      </c>
      <c r="C1238" s="248">
        <f>C1319</f>
        <v>47455443</v>
      </c>
      <c r="D1238" s="248">
        <f t="shared" ref="D1238:E1238" si="492">D1319</f>
        <v>52200987.300000004</v>
      </c>
      <c r="E1238" s="248">
        <f t="shared" si="492"/>
        <v>57421086.030000009</v>
      </c>
    </row>
    <row r="1239" spans="1:5" ht="22.05" hidden="1" customHeight="1" outlineLevel="1">
      <c r="A1239" s="212" t="s">
        <v>1466</v>
      </c>
      <c r="B1239" s="239">
        <v>33022918.75</v>
      </c>
      <c r="C1239" s="239">
        <f>C1331</f>
        <v>40612680</v>
      </c>
      <c r="D1239" s="239">
        <f t="shared" ref="D1239:E1239" si="493">D1331</f>
        <v>44673948</v>
      </c>
      <c r="E1239" s="239">
        <f t="shared" si="493"/>
        <v>49141342.800000004</v>
      </c>
    </row>
    <row r="1240" spans="1:5" ht="22.05" hidden="1" customHeight="1" outlineLevel="1">
      <c r="A1240" s="214" t="s">
        <v>1467</v>
      </c>
      <c r="B1240" s="247">
        <v>80780224.75</v>
      </c>
      <c r="C1240" s="247">
        <f>SUM(C1238:C1239)</f>
        <v>88068123</v>
      </c>
      <c r="D1240" s="247">
        <f t="shared" ref="D1240:E1240" si="494">SUM(D1238:D1239)</f>
        <v>96874935.300000012</v>
      </c>
      <c r="E1240" s="247">
        <f t="shared" si="494"/>
        <v>106562428.83000001</v>
      </c>
    </row>
    <row r="1241" spans="1:5" ht="22.05" hidden="1" customHeight="1" outlineLevel="1">
      <c r="A1241" s="224" t="s">
        <v>1468</v>
      </c>
      <c r="B1241" s="239">
        <v>17044605.059999999</v>
      </c>
      <c r="C1241" s="239">
        <f>C1306</f>
        <v>17459406.519999981</v>
      </c>
      <c r="D1241" s="239">
        <f t="shared" ref="D1241:E1241" si="495">D1306</f>
        <v>19205347.17199998</v>
      </c>
      <c r="E1241" s="239">
        <f t="shared" si="495"/>
        <v>21125881.88919998</v>
      </c>
    </row>
    <row r="1242" spans="1:5" ht="22.05" hidden="1" customHeight="1" outlineLevel="1">
      <c r="A1242" s="218" t="s">
        <v>1469</v>
      </c>
      <c r="B1242" s="247">
        <v>17044605.059999999</v>
      </c>
      <c r="C1242" s="247">
        <f>C1241</f>
        <v>17459406.519999981</v>
      </c>
      <c r="D1242" s="247">
        <f t="shared" ref="D1242:E1242" si="496">D1241</f>
        <v>19205347.17199998</v>
      </c>
      <c r="E1242" s="247">
        <f t="shared" si="496"/>
        <v>21125881.88919998</v>
      </c>
    </row>
    <row r="1243" spans="1:5" ht="22.05" hidden="1" customHeight="1" outlineLevel="1">
      <c r="A1243" s="212" t="s">
        <v>1470</v>
      </c>
      <c r="B1243" s="239">
        <v>19978659.309999999</v>
      </c>
      <c r="C1243" s="239">
        <f>C1357</f>
        <v>15892119</v>
      </c>
      <c r="D1243" s="239">
        <f t="shared" ref="D1243:E1243" si="497">D1357</f>
        <v>17481330.900000002</v>
      </c>
      <c r="E1243" s="239">
        <f t="shared" si="497"/>
        <v>19229463.990000002</v>
      </c>
    </row>
    <row r="1244" spans="1:5" ht="22.05" hidden="1" customHeight="1" outlineLevel="1">
      <c r="A1244" s="214" t="s">
        <v>1471</v>
      </c>
      <c r="B1244" s="252">
        <v>19978659.309999999</v>
      </c>
      <c r="C1244" s="252">
        <f>SUM(C1243)</f>
        <v>15892119</v>
      </c>
      <c r="D1244" s="252">
        <f t="shared" ref="D1244:E1244" si="498">SUM(D1243)</f>
        <v>17481330.900000002</v>
      </c>
      <c r="E1244" s="252">
        <f t="shared" si="498"/>
        <v>19229463.990000002</v>
      </c>
    </row>
    <row r="1245" spans="1:5" ht="22.05" hidden="1" customHeight="1" outlineLevel="1">
      <c r="A1245" s="212" t="s">
        <v>1472</v>
      </c>
      <c r="B1245" s="239">
        <v>18227413.739999998</v>
      </c>
      <c r="C1245" s="239">
        <f>C1343</f>
        <v>11818107</v>
      </c>
      <c r="D1245" s="239">
        <f t="shared" ref="D1245:E1245" si="499">D1343</f>
        <v>12999917.700000001</v>
      </c>
      <c r="E1245" s="239">
        <f t="shared" si="499"/>
        <v>14299909.470000003</v>
      </c>
    </row>
    <row r="1246" spans="1:5" ht="22.05" hidden="1" customHeight="1" outlineLevel="1">
      <c r="A1246" s="214" t="s">
        <v>1473</v>
      </c>
      <c r="B1246" s="247">
        <v>18227413.739999998</v>
      </c>
      <c r="C1246" s="247">
        <f>C1245</f>
        <v>11818107</v>
      </c>
      <c r="D1246" s="247">
        <f t="shared" ref="D1246:E1246" si="500">D1245</f>
        <v>12999917.700000001</v>
      </c>
      <c r="E1246" s="247">
        <f t="shared" si="500"/>
        <v>14299909.470000003</v>
      </c>
    </row>
    <row r="1247" spans="1:5" ht="22.05" hidden="1" customHeight="1" outlineLevel="1">
      <c r="A1247" s="212" t="s">
        <v>1474</v>
      </c>
      <c r="B1247" s="239">
        <v>10994630</v>
      </c>
      <c r="C1247" s="239">
        <f>C1370</f>
        <v>31647400</v>
      </c>
      <c r="D1247" s="239">
        <f t="shared" ref="D1247:E1247" si="501">D1370</f>
        <v>34812140</v>
      </c>
      <c r="E1247" s="239">
        <f t="shared" si="501"/>
        <v>38293354</v>
      </c>
    </row>
    <row r="1248" spans="1:5" ht="22.05" hidden="1" customHeight="1" outlineLevel="1">
      <c r="A1248" s="212" t="s">
        <v>1475</v>
      </c>
      <c r="B1248" s="239">
        <v>1933131</v>
      </c>
      <c r="C1248" s="239">
        <f>C1382</f>
        <v>1621331</v>
      </c>
      <c r="D1248" s="239">
        <f t="shared" ref="D1248:E1248" si="502">D1382</f>
        <v>1783464.1</v>
      </c>
      <c r="E1248" s="239">
        <f t="shared" si="502"/>
        <v>1961810.5100000002</v>
      </c>
    </row>
    <row r="1249" spans="1:5" ht="22.05" hidden="1" customHeight="1" outlineLevel="1">
      <c r="A1249" s="214" t="s">
        <v>1476</v>
      </c>
      <c r="B1249" s="252">
        <v>12927761</v>
      </c>
      <c r="C1249" s="252">
        <f>SUM(C1247:C1248)</f>
        <v>33268731</v>
      </c>
      <c r="D1249" s="252">
        <f t="shared" ref="D1249:E1249" si="503">SUM(D1247:D1248)</f>
        <v>36595604.100000001</v>
      </c>
      <c r="E1249" s="252">
        <f t="shared" si="503"/>
        <v>40255164.509999998</v>
      </c>
    </row>
    <row r="1250" spans="1:5" ht="22.05" hidden="1" customHeight="1" outlineLevel="1">
      <c r="A1250" s="205" t="s">
        <v>1477</v>
      </c>
      <c r="B1250" s="239">
        <v>9043505</v>
      </c>
      <c r="C1250" s="239">
        <f>C1292</f>
        <v>6495682</v>
      </c>
      <c r="D1250" s="239">
        <f t="shared" ref="D1250:E1250" si="504">D1292</f>
        <v>7145250.2000000002</v>
      </c>
      <c r="E1250" s="239">
        <f t="shared" si="504"/>
        <v>7859775.2200000007</v>
      </c>
    </row>
    <row r="1251" spans="1:5" s="201" customFormat="1" ht="22.05" hidden="1" customHeight="1" outlineLevel="1">
      <c r="A1251" s="214" t="s">
        <v>1478</v>
      </c>
      <c r="B1251" s="247">
        <v>9043505</v>
      </c>
      <c r="C1251" s="247">
        <f>SUM(C1250)</f>
        <v>6495682</v>
      </c>
      <c r="D1251" s="247">
        <f t="shared" ref="D1251:E1251" si="505">SUM(D1250)</f>
        <v>7145250.2000000002</v>
      </c>
      <c r="E1251" s="247">
        <f t="shared" si="505"/>
        <v>7859775.2200000007</v>
      </c>
    </row>
    <row r="1252" spans="1:5" ht="22.05" hidden="1" customHeight="1" outlineLevel="1">
      <c r="A1252" s="218" t="s">
        <v>1285</v>
      </c>
      <c r="B1252" s="247">
        <v>253444991</v>
      </c>
      <c r="C1252" s="247">
        <f>C1242+C1251+C1249+C1246+C1244+C1240+C1237</f>
        <v>270444990.65999997</v>
      </c>
      <c r="D1252" s="247">
        <f t="shared" ref="D1252:E1252" si="506">D1242+D1251+D1249+D1246+D1244+D1240+D1237</f>
        <v>297489489.72600001</v>
      </c>
      <c r="E1252" s="247">
        <f t="shared" si="506"/>
        <v>327238438.69859999</v>
      </c>
    </row>
    <row r="1253" spans="1:5" ht="22.05" hidden="1" customHeight="1" outlineLevel="1">
      <c r="A1253" s="237"/>
      <c r="B1253" s="209"/>
      <c r="C1253" s="209"/>
      <c r="D1253" s="209"/>
      <c r="E1253" s="209"/>
    </row>
    <row r="1254" spans="1:5" ht="22.05" hidden="1" customHeight="1" outlineLevel="1">
      <c r="A1254" s="201" t="s">
        <v>1479</v>
      </c>
      <c r="B1254" s="244"/>
      <c r="C1254" s="244"/>
      <c r="D1254" s="244"/>
      <c r="E1254" s="244"/>
    </row>
    <row r="1255" spans="1:5" ht="22.05" hidden="1" customHeight="1" outlineLevel="1">
      <c r="A1255" s="210" t="s">
        <v>1287</v>
      </c>
      <c r="B1255" s="822" t="s">
        <v>1257</v>
      </c>
      <c r="C1255" s="822" t="s">
        <v>1258</v>
      </c>
      <c r="D1255" s="824" t="s">
        <v>1259</v>
      </c>
      <c r="E1255" s="825"/>
    </row>
    <row r="1256" spans="1:5" ht="22.05" hidden="1" customHeight="1" outlineLevel="1">
      <c r="A1256" s="211"/>
      <c r="B1256" s="823"/>
      <c r="C1256" s="823"/>
      <c r="D1256" s="788" t="s">
        <v>1260</v>
      </c>
      <c r="E1256" s="788" t="s">
        <v>1261</v>
      </c>
    </row>
    <row r="1257" spans="1:5" ht="22.05" hidden="1" customHeight="1" outlineLevel="1">
      <c r="A1257" s="218" t="s">
        <v>1298</v>
      </c>
      <c r="B1257" s="247">
        <v>192511086</v>
      </c>
      <c r="C1257" s="247">
        <f>SUM(C1258:C1260)</f>
        <v>202248626.65999997</v>
      </c>
      <c r="D1257" s="247">
        <f>SUM(D1258:D1260)</f>
        <v>222473489.32599998</v>
      </c>
      <c r="E1257" s="247">
        <f>SUM(E1258:E1260)</f>
        <v>244720838.25860003</v>
      </c>
    </row>
    <row r="1258" spans="1:5" ht="22.05" hidden="1" customHeight="1" outlineLevel="1">
      <c r="A1258" s="224" t="s">
        <v>1288</v>
      </c>
      <c r="B1258" s="239">
        <v>90018005</v>
      </c>
      <c r="C1258" s="239">
        <f>C1273+C1286+C1300+C1313+C1325+C1337+C1351+C1364+C1376</f>
        <v>90018005</v>
      </c>
      <c r="D1258" s="239">
        <f t="shared" ref="D1258:E1258" si="507">D1273+D1286+D1300+D1313+D1325+D1337+D1351+D1364+D1376</f>
        <v>99019805.500000015</v>
      </c>
      <c r="E1258" s="239">
        <f t="shared" si="507"/>
        <v>108921786.05000003</v>
      </c>
    </row>
    <row r="1259" spans="1:5" ht="22.05" hidden="1" customHeight="1" outlineLevel="1">
      <c r="A1259" s="224" t="s">
        <v>1289</v>
      </c>
      <c r="B1259" s="239">
        <v>89435766.5</v>
      </c>
      <c r="C1259" s="239">
        <f t="shared" ref="C1259:E1260" si="508">C1274+C1287+C1301+C1314+C1326+C1338+C1352+C1365+C1377</f>
        <v>108857869.65999998</v>
      </c>
      <c r="D1259" s="239">
        <f t="shared" si="508"/>
        <v>119743656.62599999</v>
      </c>
      <c r="E1259" s="239">
        <f t="shared" si="508"/>
        <v>131718022.2886</v>
      </c>
    </row>
    <row r="1260" spans="1:5" ht="22.05" hidden="1" customHeight="1" outlineLevel="1">
      <c r="A1260" s="224" t="s">
        <v>1290</v>
      </c>
      <c r="B1260" s="239">
        <v>13057314.5</v>
      </c>
      <c r="C1260" s="239">
        <f t="shared" si="508"/>
        <v>3372752</v>
      </c>
      <c r="D1260" s="239">
        <f t="shared" si="508"/>
        <v>3710027.2</v>
      </c>
      <c r="E1260" s="239">
        <f t="shared" si="508"/>
        <v>4081029.9200000004</v>
      </c>
    </row>
    <row r="1261" spans="1:5" s="201" customFormat="1" ht="22.05" hidden="1" customHeight="1" outlineLevel="1">
      <c r="A1261" s="218" t="s">
        <v>1291</v>
      </c>
      <c r="B1261" s="247">
        <v>60933905</v>
      </c>
      <c r="C1261" s="247">
        <f>C1262+C1263</f>
        <v>68196364</v>
      </c>
      <c r="D1261" s="247">
        <f>D1262+D1263</f>
        <v>75016000.400000006</v>
      </c>
      <c r="E1261" s="247">
        <f>E1262+E1263</f>
        <v>82517600.440000013</v>
      </c>
    </row>
    <row r="1262" spans="1:5" ht="22.05" hidden="1" customHeight="1" outlineLevel="1">
      <c r="A1262" s="224" t="s">
        <v>1292</v>
      </c>
      <c r="B1262" s="239">
        <v>60933905</v>
      </c>
      <c r="C1262" s="239">
        <f>Tables!C1277+Tables!C1290+Tables!C1304+Tables!C1317+Tables!C1329+Tables!C1341+Tables!C1355+Tables!C1368+Tables!C1380</f>
        <v>68196364</v>
      </c>
      <c r="D1262" s="239">
        <f>Tables!D1277+Tables!D1290+Tables!D1304+Tables!D1317+Tables!D1329+Tables!D1341+Tables!D1355+Tables!D1368+Tables!D1380</f>
        <v>75016000.400000006</v>
      </c>
      <c r="E1262" s="239">
        <f>Tables!E1277+Tables!E1290+Tables!E1304+Tables!E1317+Tables!E1329+Tables!E1341+Tables!E1355+Tables!E1368+Tables!E1380</f>
        <v>82517600.440000013</v>
      </c>
    </row>
    <row r="1263" spans="1:5" ht="22.05" hidden="1" customHeight="1" outlineLevel="1">
      <c r="A1263" s="224" t="s">
        <v>1293</v>
      </c>
      <c r="B1263" s="239">
        <v>0</v>
      </c>
      <c r="C1263" s="239">
        <f>Tables!C1278+Tables!C1291+Tables!C1305+Tables!C1318+Tables!C1330+Tables!C1342+Tables!C1356+Tables!C1369+Tables!C1381</f>
        <v>0</v>
      </c>
      <c r="D1263" s="239">
        <f>Tables!D1278+Tables!D1291+Tables!D1305+Tables!D1318+Tables!D1330+Tables!D1342+Tables!D1356+Tables!D1369+Tables!D1381</f>
        <v>0</v>
      </c>
      <c r="E1263" s="239">
        <f>Tables!E1278+Tables!E1291+Tables!E1305+Tables!E1318+Tables!E1330+Tables!E1342+Tables!E1356+Tables!E1369+Tables!E1381</f>
        <v>0</v>
      </c>
    </row>
    <row r="1264" spans="1:5" ht="22.05" hidden="1" customHeight="1" outlineLevel="1">
      <c r="A1264" s="218" t="s">
        <v>1294</v>
      </c>
      <c r="B1264" s="247">
        <v>253444991</v>
      </c>
      <c r="C1264" s="247">
        <f>C1257+C1261</f>
        <v>270444990.65999997</v>
      </c>
      <c r="D1264" s="247">
        <f>D1257+D1261</f>
        <v>297489489.72599995</v>
      </c>
      <c r="E1264" s="247">
        <f>E1257+E1261</f>
        <v>327238438.69860005</v>
      </c>
    </row>
    <row r="1265" spans="1:5" ht="22.05" hidden="1" customHeight="1" outlineLevel="1">
      <c r="A1265" s="237"/>
      <c r="B1265" s="209"/>
      <c r="C1265" s="209"/>
      <c r="D1265" s="209"/>
      <c r="E1265" s="209"/>
    </row>
    <row r="1266" spans="1:5" ht="22.05" hidden="1" customHeight="1" outlineLevel="1">
      <c r="A1266" s="201" t="s">
        <v>1295</v>
      </c>
      <c r="B1266" s="244"/>
      <c r="C1266" s="244"/>
      <c r="D1266" s="244"/>
      <c r="E1266" s="244"/>
    </row>
    <row r="1267" spans="1:5" ht="22.05" hidden="1" customHeight="1" outlineLevel="1">
      <c r="A1267" s="201"/>
      <c r="B1267" s="244"/>
      <c r="C1267" s="244"/>
      <c r="D1267" s="244"/>
      <c r="E1267" s="244"/>
    </row>
    <row r="1268" spans="1:5" ht="22.05" hidden="1" customHeight="1" outlineLevel="1">
      <c r="A1268" s="201" t="s">
        <v>1480</v>
      </c>
      <c r="B1268" s="244"/>
      <c r="C1268" s="244"/>
      <c r="D1268" s="244"/>
      <c r="E1268" s="244"/>
    </row>
    <row r="1269" spans="1:5" ht="22.05" hidden="1" customHeight="1" outlineLevel="1">
      <c r="A1269" s="201" t="s">
        <v>1481</v>
      </c>
      <c r="B1269" s="244"/>
      <c r="C1269" s="244"/>
      <c r="D1269" s="244"/>
      <c r="E1269" s="244"/>
    </row>
    <row r="1270" spans="1:5" ht="22.05" hidden="1" customHeight="1" outlineLevel="1">
      <c r="A1270" s="210" t="s">
        <v>1287</v>
      </c>
      <c r="B1270" s="822" t="s">
        <v>1257</v>
      </c>
      <c r="C1270" s="822" t="s">
        <v>1258</v>
      </c>
      <c r="D1270" s="824" t="s">
        <v>1259</v>
      </c>
      <c r="E1270" s="825"/>
    </row>
    <row r="1271" spans="1:5" ht="22.05" hidden="1" customHeight="1" outlineLevel="1">
      <c r="A1271" s="211"/>
      <c r="B1271" s="823"/>
      <c r="C1271" s="823"/>
      <c r="D1271" s="788" t="s">
        <v>1260</v>
      </c>
      <c r="E1271" s="788" t="s">
        <v>1261</v>
      </c>
    </row>
    <row r="1272" spans="1:5" ht="22.05" hidden="1" customHeight="1" outlineLevel="1">
      <c r="A1272" s="218" t="s">
        <v>1298</v>
      </c>
      <c r="B1272" s="247">
        <v>95442822.140000001</v>
      </c>
      <c r="C1272" s="247">
        <f>SUM(C1273:C1275)</f>
        <v>97442822.140000001</v>
      </c>
      <c r="D1272" s="247">
        <f>SUM(D1273:D1275)</f>
        <v>107187104.35400002</v>
      </c>
      <c r="E1272" s="247">
        <f>SUM(E1273:E1275)</f>
        <v>117905814.78940003</v>
      </c>
    </row>
    <row r="1273" spans="1:5" ht="22.05" hidden="1" customHeight="1" outlineLevel="1">
      <c r="A1273" s="224" t="s">
        <v>1288</v>
      </c>
      <c r="B1273" s="239">
        <v>90018005</v>
      </c>
      <c r="C1273" s="239">
        <f>'Itemized Budget 2026-27'!E2820</f>
        <v>90018005</v>
      </c>
      <c r="D1273" s="239">
        <f>C1273*1.1</f>
        <v>99019805.500000015</v>
      </c>
      <c r="E1273" s="239">
        <f>D1273*1.1</f>
        <v>108921786.05000003</v>
      </c>
    </row>
    <row r="1274" spans="1:5" ht="22.05" hidden="1" customHeight="1" outlineLevel="1">
      <c r="A1274" s="224" t="s">
        <v>1289</v>
      </c>
      <c r="B1274" s="239">
        <v>5279817.1399999997</v>
      </c>
      <c r="C1274" s="239">
        <f>'Itemized Budget 2026-27'!E2857-'Itemized Budget 2026-27'!E2820</f>
        <v>7424817.1400000006</v>
      </c>
      <c r="D1274" s="239">
        <f t="shared" ref="D1274:E1274" si="509">C1274*1.1</f>
        <v>8167298.8540000012</v>
      </c>
      <c r="E1274" s="239">
        <f t="shared" si="509"/>
        <v>8984028.7394000012</v>
      </c>
    </row>
    <row r="1275" spans="1:5" ht="22.05" hidden="1" customHeight="1" outlineLevel="1">
      <c r="A1275" s="224" t="s">
        <v>1290</v>
      </c>
      <c r="B1275" s="239">
        <v>145000</v>
      </c>
      <c r="C1275" s="239"/>
      <c r="D1275" s="239">
        <f t="shared" ref="D1275:E1275" si="510">C1275*1.1</f>
        <v>0</v>
      </c>
      <c r="E1275" s="239">
        <f t="shared" si="510"/>
        <v>0</v>
      </c>
    </row>
    <row r="1276" spans="1:5" ht="22.05" hidden="1" customHeight="1" outlineLevel="1">
      <c r="A1276" s="218" t="s">
        <v>1291</v>
      </c>
      <c r="B1276" s="247">
        <v>0</v>
      </c>
      <c r="C1276" s="247">
        <f>SUM(C1277:C1278)</f>
        <v>0</v>
      </c>
      <c r="D1276" s="247">
        <f t="shared" ref="D1276:E1276" si="511">SUM(D1277:D1278)</f>
        <v>0</v>
      </c>
      <c r="E1276" s="247">
        <f t="shared" si="511"/>
        <v>0</v>
      </c>
    </row>
    <row r="1277" spans="1:5" ht="22.05" hidden="1" customHeight="1" outlineLevel="1">
      <c r="A1277" s="224" t="s">
        <v>1299</v>
      </c>
      <c r="B1277" s="239">
        <v>0</v>
      </c>
      <c r="C1277" s="239">
        <v>0</v>
      </c>
      <c r="D1277" s="239">
        <f t="shared" ref="D1277:E1277" si="512">C1277*1.1</f>
        <v>0</v>
      </c>
      <c r="E1277" s="239">
        <f t="shared" si="512"/>
        <v>0</v>
      </c>
    </row>
    <row r="1278" spans="1:5" ht="22.05" hidden="1" customHeight="1" outlineLevel="1">
      <c r="A1278" s="224" t="s">
        <v>1300</v>
      </c>
      <c r="B1278" s="239">
        <v>0</v>
      </c>
      <c r="C1278" s="239">
        <v>0</v>
      </c>
      <c r="D1278" s="239">
        <f t="shared" ref="D1278:E1278" si="513">C1278*1.1</f>
        <v>0</v>
      </c>
      <c r="E1278" s="239">
        <f t="shared" si="513"/>
        <v>0</v>
      </c>
    </row>
    <row r="1279" spans="1:5" ht="22.05" hidden="1" customHeight="1" outlineLevel="1">
      <c r="A1279" s="218" t="s">
        <v>1301</v>
      </c>
      <c r="B1279" s="247">
        <v>95442822.140000001</v>
      </c>
      <c r="C1279" s="247">
        <f>C1272+C1276</f>
        <v>97442822.140000001</v>
      </c>
      <c r="D1279" s="247">
        <f>D1272+D1276</f>
        <v>107187104.35400002</v>
      </c>
      <c r="E1279" s="247">
        <f>E1272+E1276</f>
        <v>117905814.78940003</v>
      </c>
    </row>
    <row r="1280" spans="1:5" ht="22.05" hidden="1" customHeight="1" outlineLevel="1">
      <c r="B1280" s="209"/>
      <c r="C1280" s="209"/>
      <c r="D1280" s="209"/>
      <c r="E1280" s="209"/>
    </row>
    <row r="1281" spans="1:5" ht="22.05" hidden="1" customHeight="1" outlineLevel="1">
      <c r="B1281" s="209"/>
      <c r="C1281" s="209"/>
      <c r="D1281" s="209"/>
      <c r="E1281" s="209"/>
    </row>
    <row r="1282" spans="1:5" s="201" customFormat="1" ht="22.05" hidden="1" customHeight="1" outlineLevel="1">
      <c r="A1282" s="205" t="s">
        <v>1482</v>
      </c>
      <c r="B1282" s="209"/>
      <c r="C1282" s="209"/>
      <c r="D1282" s="209"/>
      <c r="E1282" s="209"/>
    </row>
    <row r="1283" spans="1:5" s="201" customFormat="1" ht="22.05" hidden="1" customHeight="1" outlineLevel="1">
      <c r="A1283" s="210" t="s">
        <v>1287</v>
      </c>
      <c r="B1283" s="822" t="s">
        <v>1257</v>
      </c>
      <c r="C1283" s="822" t="s">
        <v>1258</v>
      </c>
      <c r="D1283" s="824" t="s">
        <v>1259</v>
      </c>
      <c r="E1283" s="825"/>
    </row>
    <row r="1284" spans="1:5" s="201" customFormat="1" ht="22.05" hidden="1" customHeight="1" outlineLevel="1">
      <c r="A1284" s="211"/>
      <c r="B1284" s="823"/>
      <c r="C1284" s="823"/>
      <c r="D1284" s="788" t="s">
        <v>1260</v>
      </c>
      <c r="E1284" s="788" t="s">
        <v>1261</v>
      </c>
    </row>
    <row r="1285" spans="1:5" s="201" customFormat="1" ht="22.05" hidden="1" customHeight="1" outlineLevel="1">
      <c r="A1285" s="218" t="s">
        <v>1298</v>
      </c>
      <c r="B1285" s="247">
        <v>9043505</v>
      </c>
      <c r="C1285" s="247">
        <f>SUM(C1286:C1288)</f>
        <v>6495682</v>
      </c>
      <c r="D1285" s="247">
        <f>SUM(D1286:D1288)</f>
        <v>7145250.2000000002</v>
      </c>
      <c r="E1285" s="247">
        <f>SUM(E1286:E1288)</f>
        <v>7859775.2200000007</v>
      </c>
    </row>
    <row r="1286" spans="1:5" s="201" customFormat="1" ht="22.05" hidden="1" customHeight="1" outlineLevel="1">
      <c r="A1286" s="224" t="s">
        <v>1288</v>
      </c>
      <c r="B1286" s="239"/>
      <c r="C1286" s="239"/>
      <c r="D1286" s="239">
        <f t="shared" ref="D1286:E1286" si="514">C1286*1.1</f>
        <v>0</v>
      </c>
      <c r="E1286" s="239">
        <f t="shared" si="514"/>
        <v>0</v>
      </c>
    </row>
    <row r="1287" spans="1:5" s="201" customFormat="1" ht="22.05" hidden="1" customHeight="1" outlineLevel="1">
      <c r="A1287" s="224" t="s">
        <v>1289</v>
      </c>
      <c r="B1287" s="239">
        <v>8334905</v>
      </c>
      <c r="C1287" s="239">
        <f>'Itemized Budget 2026-27'!E2898-'Itemized Budget 2026-27'!E2896-'Itemized Budget 2026-27'!E2891</f>
        <v>5674832</v>
      </c>
      <c r="D1287" s="239">
        <f t="shared" ref="D1287:E1287" si="515">C1287*1.1</f>
        <v>6242315.2000000002</v>
      </c>
      <c r="E1287" s="239">
        <f t="shared" si="515"/>
        <v>6866546.7200000007</v>
      </c>
    </row>
    <row r="1288" spans="1:5" s="201" customFormat="1" ht="22.05" hidden="1" customHeight="1" outlineLevel="1">
      <c r="A1288" s="224" t="s">
        <v>1290</v>
      </c>
      <c r="B1288" s="239">
        <v>708600</v>
      </c>
      <c r="C1288" s="239">
        <f>'Itemized Budget 2026-27'!E2896+'Itemized Budget 2026-27'!E2891</f>
        <v>820850</v>
      </c>
      <c r="D1288" s="239">
        <f t="shared" ref="D1288:E1288" si="516">C1288*1.1</f>
        <v>902935.00000000012</v>
      </c>
      <c r="E1288" s="239">
        <f t="shared" si="516"/>
        <v>993228.50000000023</v>
      </c>
    </row>
    <row r="1289" spans="1:5" s="201" customFormat="1" ht="22.05" hidden="1" customHeight="1" outlineLevel="1">
      <c r="A1289" s="218" t="s">
        <v>1291</v>
      </c>
      <c r="B1289" s="247">
        <v>0</v>
      </c>
      <c r="C1289" s="247">
        <f>SUM(C1290:C1291)</f>
        <v>0</v>
      </c>
      <c r="D1289" s="247">
        <f t="shared" ref="D1289:E1289" si="517">SUM(D1290:D1291)</f>
        <v>0</v>
      </c>
      <c r="E1289" s="247">
        <f t="shared" si="517"/>
        <v>0</v>
      </c>
    </row>
    <row r="1290" spans="1:5" s="201" customFormat="1" ht="22.05" hidden="1" customHeight="1" outlineLevel="1">
      <c r="A1290" s="224" t="s">
        <v>1299</v>
      </c>
      <c r="B1290" s="239">
        <v>0</v>
      </c>
      <c r="C1290" s="239">
        <f>'Itemized Budget 2026-27'!E2902</f>
        <v>0</v>
      </c>
      <c r="D1290" s="239">
        <f t="shared" ref="D1290:E1290" si="518">C1290*1.1</f>
        <v>0</v>
      </c>
      <c r="E1290" s="239">
        <f t="shared" si="518"/>
        <v>0</v>
      </c>
    </row>
    <row r="1291" spans="1:5" s="201" customFormat="1" ht="22.05" hidden="1" customHeight="1" outlineLevel="1">
      <c r="A1291" s="224" t="s">
        <v>1300</v>
      </c>
      <c r="B1291" s="239"/>
      <c r="C1291" s="239"/>
      <c r="D1291" s="239">
        <f t="shared" ref="D1291:E1291" si="519">C1291*1.1</f>
        <v>0</v>
      </c>
      <c r="E1291" s="239">
        <f t="shared" si="519"/>
        <v>0</v>
      </c>
    </row>
    <row r="1292" spans="1:5" s="201" customFormat="1" ht="22.05" hidden="1" customHeight="1" outlineLevel="1">
      <c r="A1292" s="218" t="s">
        <v>1301</v>
      </c>
      <c r="B1292" s="247">
        <v>9043505</v>
      </c>
      <c r="C1292" s="247">
        <f>C1289+C1285</f>
        <v>6495682</v>
      </c>
      <c r="D1292" s="247">
        <f>D1289+D1285</f>
        <v>7145250.2000000002</v>
      </c>
      <c r="E1292" s="247">
        <f>E1289+E1285</f>
        <v>7859775.2200000007</v>
      </c>
    </row>
    <row r="1293" spans="1:5" s="201" customFormat="1" ht="22.05" hidden="1" customHeight="1" outlineLevel="1">
      <c r="B1293" s="244"/>
      <c r="C1293" s="244"/>
      <c r="D1293" s="244"/>
      <c r="E1293" s="244"/>
    </row>
    <row r="1294" spans="1:5" s="201" customFormat="1" ht="22.05" hidden="1" customHeight="1" outlineLevel="1">
      <c r="B1294" s="244"/>
      <c r="C1294" s="244"/>
      <c r="D1294" s="244"/>
      <c r="E1294" s="244"/>
    </row>
    <row r="1295" spans="1:5" ht="22.05" hidden="1" customHeight="1" outlineLevel="1">
      <c r="A1295" s="201" t="s">
        <v>1469</v>
      </c>
      <c r="B1295" s="209"/>
      <c r="C1295" s="209"/>
      <c r="D1295" s="209"/>
      <c r="E1295" s="209"/>
    </row>
    <row r="1296" spans="1:5" ht="22.05" hidden="1" customHeight="1" outlineLevel="1">
      <c r="A1296" s="205" t="s">
        <v>1483</v>
      </c>
      <c r="B1296" s="209"/>
      <c r="C1296" s="209"/>
      <c r="D1296" s="209"/>
      <c r="E1296" s="209"/>
    </row>
    <row r="1297" spans="1:5" ht="22.05" hidden="1" customHeight="1" outlineLevel="1">
      <c r="A1297" s="210" t="s">
        <v>1287</v>
      </c>
      <c r="B1297" s="822" t="s">
        <v>1257</v>
      </c>
      <c r="C1297" s="822" t="s">
        <v>1258</v>
      </c>
      <c r="D1297" s="824" t="s">
        <v>1259</v>
      </c>
      <c r="E1297" s="825"/>
    </row>
    <row r="1298" spans="1:5" ht="22.05" hidden="1" customHeight="1" outlineLevel="1">
      <c r="A1298" s="211"/>
      <c r="B1298" s="823"/>
      <c r="C1298" s="823"/>
      <c r="D1298" s="788" t="s">
        <v>1260</v>
      </c>
      <c r="E1298" s="788" t="s">
        <v>1261</v>
      </c>
    </row>
    <row r="1299" spans="1:5" ht="22.05" hidden="1" customHeight="1" outlineLevel="1">
      <c r="A1299" s="218" t="s">
        <v>1298</v>
      </c>
      <c r="B1299" s="247">
        <v>8088672.7599999905</v>
      </c>
      <c r="C1299" s="247">
        <f>SUM(C1300:C1302)</f>
        <v>4059022.5199999809</v>
      </c>
      <c r="D1299" s="247">
        <f>SUM(D1300:D1302)</f>
        <v>4464924.7719999794</v>
      </c>
      <c r="E1299" s="247">
        <f>SUM(E1300:E1302)</f>
        <v>4911417.2491999781</v>
      </c>
    </row>
    <row r="1300" spans="1:5" ht="22.05" hidden="1" customHeight="1" outlineLevel="1">
      <c r="A1300" s="224" t="s">
        <v>1288</v>
      </c>
      <c r="B1300" s="239"/>
      <c r="C1300" s="239"/>
      <c r="D1300" s="239">
        <f t="shared" ref="D1300:E1300" si="520">C1300*1.1</f>
        <v>0</v>
      </c>
      <c r="E1300" s="239">
        <f t="shared" si="520"/>
        <v>0</v>
      </c>
    </row>
    <row r="1301" spans="1:5" ht="22.05" hidden="1" customHeight="1" outlineLevel="1">
      <c r="A1301" s="224" t="s">
        <v>1289</v>
      </c>
      <c r="B1301" s="239">
        <v>3352003.75999999</v>
      </c>
      <c r="C1301" s="239">
        <f>'Itemized Budget 2026-27'!E2931-'Itemized Budget 2026-27'!E2929</f>
        <v>3858426.5199999809</v>
      </c>
      <c r="D1301" s="239">
        <f t="shared" ref="D1301:E1301" si="521">C1301*1.1</f>
        <v>4244269.1719999798</v>
      </c>
      <c r="E1301" s="239">
        <f t="shared" si="521"/>
        <v>4668696.0891999779</v>
      </c>
    </row>
    <row r="1302" spans="1:5" ht="22.05" hidden="1" customHeight="1" outlineLevel="1">
      <c r="A1302" s="224" t="s">
        <v>1290</v>
      </c>
      <c r="B1302" s="239">
        <v>4736669</v>
      </c>
      <c r="C1302" s="239">
        <f>'Itemized Budget 2026-27'!E2929</f>
        <v>200596</v>
      </c>
      <c r="D1302" s="239">
        <f t="shared" ref="D1302:E1302" si="522">C1302*1.1</f>
        <v>220655.6</v>
      </c>
      <c r="E1302" s="239">
        <f t="shared" si="522"/>
        <v>242721.16000000003</v>
      </c>
    </row>
    <row r="1303" spans="1:5" ht="22.05" hidden="1" customHeight="1" outlineLevel="1">
      <c r="A1303" s="218" t="s">
        <v>1291</v>
      </c>
      <c r="B1303" s="247">
        <v>8955932.3000000007</v>
      </c>
      <c r="C1303" s="247">
        <f>SUM(C1304:C1305)</f>
        <v>13400384</v>
      </c>
      <c r="D1303" s="247">
        <f t="shared" ref="D1303:E1303" si="523">SUM(D1304:D1305)</f>
        <v>14740422.4</v>
      </c>
      <c r="E1303" s="247">
        <f t="shared" si="523"/>
        <v>16214464.640000002</v>
      </c>
    </row>
    <row r="1304" spans="1:5" ht="22.05" hidden="1" customHeight="1" outlineLevel="1">
      <c r="A1304" s="224" t="s">
        <v>1299</v>
      </c>
      <c r="B1304" s="239">
        <v>8955932.3000000007</v>
      </c>
      <c r="C1304" s="239">
        <f>'Itemized Budget 2026-27'!E2939</f>
        <v>13400384</v>
      </c>
      <c r="D1304" s="239">
        <f t="shared" ref="D1304:E1304" si="524">C1304*1.1</f>
        <v>14740422.4</v>
      </c>
      <c r="E1304" s="239">
        <f t="shared" si="524"/>
        <v>16214464.640000002</v>
      </c>
    </row>
    <row r="1305" spans="1:5" ht="22.05" hidden="1" customHeight="1" outlineLevel="1">
      <c r="A1305" s="224" t="s">
        <v>1422</v>
      </c>
      <c r="B1305" s="239">
        <v>0</v>
      </c>
      <c r="C1305" s="239">
        <v>0</v>
      </c>
      <c r="D1305" s="239">
        <f t="shared" ref="D1305:E1305" si="525">C1305*1.1</f>
        <v>0</v>
      </c>
      <c r="E1305" s="239">
        <f t="shared" si="525"/>
        <v>0</v>
      </c>
    </row>
    <row r="1306" spans="1:5" ht="22.05" hidden="1" customHeight="1" outlineLevel="1">
      <c r="A1306" s="218" t="s">
        <v>1301</v>
      </c>
      <c r="B1306" s="247">
        <v>17044605.059999999</v>
      </c>
      <c r="C1306" s="247">
        <f>C1303+C1299</f>
        <v>17459406.519999981</v>
      </c>
      <c r="D1306" s="247">
        <f>D1303+D1299</f>
        <v>19205347.17199998</v>
      </c>
      <c r="E1306" s="247">
        <f>E1303+E1299</f>
        <v>21125881.88919998</v>
      </c>
    </row>
    <row r="1307" spans="1:5" s="201" customFormat="1" ht="22.05" hidden="1" customHeight="1" outlineLevel="1">
      <c r="B1307" s="244"/>
      <c r="C1307" s="244"/>
      <c r="D1307" s="244"/>
      <c r="E1307" s="244"/>
    </row>
    <row r="1308" spans="1:5" s="201" customFormat="1" ht="22.05" hidden="1" customHeight="1" outlineLevel="1">
      <c r="A1308" s="201" t="s">
        <v>1467</v>
      </c>
      <c r="B1308" s="244"/>
      <c r="C1308" s="244"/>
      <c r="D1308" s="244"/>
      <c r="E1308" s="244"/>
    </row>
    <row r="1309" spans="1:5" s="201" customFormat="1" ht="22.05" hidden="1" customHeight="1" outlineLevel="1">
      <c r="A1309" s="201" t="s">
        <v>1484</v>
      </c>
      <c r="B1309" s="244"/>
      <c r="C1309" s="244"/>
      <c r="D1309" s="244"/>
      <c r="E1309" s="244"/>
    </row>
    <row r="1310" spans="1:5" ht="22.05" hidden="1" customHeight="1" outlineLevel="1">
      <c r="A1310" s="210" t="s">
        <v>1287</v>
      </c>
      <c r="B1310" s="822" t="s">
        <v>1257</v>
      </c>
      <c r="C1310" s="822" t="s">
        <v>1258</v>
      </c>
      <c r="D1310" s="824" t="s">
        <v>1259</v>
      </c>
      <c r="E1310" s="825"/>
    </row>
    <row r="1311" spans="1:5" ht="22.05" hidden="1" customHeight="1" outlineLevel="1">
      <c r="A1311" s="211"/>
      <c r="B1311" s="823"/>
      <c r="C1311" s="823"/>
      <c r="D1311" s="788" t="s">
        <v>1260</v>
      </c>
      <c r="E1311" s="788" t="s">
        <v>1261</v>
      </c>
    </row>
    <row r="1312" spans="1:5" ht="22.05" hidden="1" customHeight="1" outlineLevel="1">
      <c r="A1312" s="218" t="s">
        <v>1298</v>
      </c>
      <c r="B1312" s="247">
        <v>47757306</v>
      </c>
      <c r="C1312" s="247">
        <f>SUM(C1313:C1315)</f>
        <v>47455443</v>
      </c>
      <c r="D1312" s="247">
        <f>SUM(D1313:D1315)</f>
        <v>52200987.300000004</v>
      </c>
      <c r="E1312" s="247">
        <f>SUM(E1313:E1315)</f>
        <v>57421086.030000009</v>
      </c>
    </row>
    <row r="1313" spans="1:5" ht="22.05" hidden="1" customHeight="1" outlineLevel="1">
      <c r="A1313" s="224" t="s">
        <v>1288</v>
      </c>
      <c r="B1313" s="239"/>
      <c r="C1313" s="239"/>
      <c r="D1313" s="239">
        <f t="shared" ref="D1313:E1313" si="526">C1313*1.1</f>
        <v>0</v>
      </c>
      <c r="E1313" s="239">
        <f t="shared" si="526"/>
        <v>0</v>
      </c>
    </row>
    <row r="1314" spans="1:5" ht="22.05" hidden="1" customHeight="1" outlineLevel="1">
      <c r="A1314" s="224" t="s">
        <v>1289</v>
      </c>
      <c r="B1314" s="239">
        <v>47757306</v>
      </c>
      <c r="C1314" s="239">
        <f>'Itemized Budget 2026-27'!E2978</f>
        <v>47455443</v>
      </c>
      <c r="D1314" s="239">
        <f t="shared" ref="D1314:E1314" si="527">C1314*1.1</f>
        <v>52200987.300000004</v>
      </c>
      <c r="E1314" s="239">
        <f t="shared" si="527"/>
        <v>57421086.030000009</v>
      </c>
    </row>
    <row r="1315" spans="1:5" ht="22.05" hidden="1" customHeight="1" outlineLevel="1">
      <c r="A1315" s="224" t="s">
        <v>1290</v>
      </c>
      <c r="B1315" s="239"/>
      <c r="C1315" s="239"/>
      <c r="D1315" s="239">
        <f t="shared" ref="D1315:E1315" si="528">C1315*1.1</f>
        <v>0</v>
      </c>
      <c r="E1315" s="239">
        <f t="shared" si="528"/>
        <v>0</v>
      </c>
    </row>
    <row r="1316" spans="1:5" ht="22.05" hidden="1" customHeight="1" outlineLevel="1">
      <c r="A1316" s="218" t="s">
        <v>1291</v>
      </c>
      <c r="B1316" s="247">
        <v>0</v>
      </c>
      <c r="C1316" s="247">
        <f>SUM(C1317:C1318)</f>
        <v>0</v>
      </c>
      <c r="D1316" s="247">
        <f t="shared" ref="D1316:E1316" si="529">SUM(D1317:D1318)</f>
        <v>0</v>
      </c>
      <c r="E1316" s="247">
        <f t="shared" si="529"/>
        <v>0</v>
      </c>
    </row>
    <row r="1317" spans="1:5" ht="22.05" hidden="1" customHeight="1" outlineLevel="1">
      <c r="A1317" s="224" t="s">
        <v>1299</v>
      </c>
      <c r="B1317" s="239"/>
      <c r="C1317" s="239"/>
      <c r="D1317" s="239">
        <f t="shared" ref="D1317:E1317" si="530">C1317*1.1</f>
        <v>0</v>
      </c>
      <c r="E1317" s="239">
        <f t="shared" si="530"/>
        <v>0</v>
      </c>
    </row>
    <row r="1318" spans="1:5" ht="22.05" hidden="1" customHeight="1" outlineLevel="1">
      <c r="A1318" s="224" t="s">
        <v>1300</v>
      </c>
      <c r="B1318" s="239">
        <v>0</v>
      </c>
      <c r="C1318" s="239">
        <v>0</v>
      </c>
      <c r="D1318" s="239">
        <f t="shared" ref="D1318:E1318" si="531">C1318*1.1</f>
        <v>0</v>
      </c>
      <c r="E1318" s="239">
        <f t="shared" si="531"/>
        <v>0</v>
      </c>
    </row>
    <row r="1319" spans="1:5" ht="22.05" hidden="1" customHeight="1" outlineLevel="1">
      <c r="A1319" s="218" t="s">
        <v>1301</v>
      </c>
      <c r="B1319" s="247">
        <v>47757306</v>
      </c>
      <c r="C1319" s="247">
        <f>C1316+C1312</f>
        <v>47455443</v>
      </c>
      <c r="D1319" s="247">
        <f>D1316+D1312</f>
        <v>52200987.300000004</v>
      </c>
      <c r="E1319" s="247">
        <f>E1316+E1312</f>
        <v>57421086.030000009</v>
      </c>
    </row>
    <row r="1320" spans="1:5" ht="22.05" hidden="1" customHeight="1" outlineLevel="1">
      <c r="B1320" s="209"/>
      <c r="C1320" s="209"/>
      <c r="D1320" s="209"/>
      <c r="E1320" s="209"/>
    </row>
    <row r="1321" spans="1:5" ht="22.05" hidden="1" customHeight="1" outlineLevel="1">
      <c r="A1321" s="201" t="s">
        <v>1466</v>
      </c>
      <c r="B1321" s="209"/>
      <c r="C1321" s="209"/>
      <c r="D1321" s="209"/>
      <c r="E1321" s="209"/>
    </row>
    <row r="1322" spans="1:5" ht="22.05" hidden="1" customHeight="1" outlineLevel="1">
      <c r="A1322" s="210" t="s">
        <v>1287</v>
      </c>
      <c r="B1322" s="822" t="s">
        <v>1257</v>
      </c>
      <c r="C1322" s="822" t="s">
        <v>1258</v>
      </c>
      <c r="D1322" s="824" t="s">
        <v>1259</v>
      </c>
      <c r="E1322" s="825"/>
    </row>
    <row r="1323" spans="1:5" ht="22.05" hidden="1" customHeight="1" outlineLevel="1">
      <c r="A1323" s="211"/>
      <c r="B1323" s="823"/>
      <c r="C1323" s="823"/>
      <c r="D1323" s="788" t="s">
        <v>1260</v>
      </c>
      <c r="E1323" s="788" t="s">
        <v>1261</v>
      </c>
    </row>
    <row r="1324" spans="1:5" s="201" customFormat="1" ht="22.05" hidden="1" customHeight="1" outlineLevel="1">
      <c r="A1324" s="218" t="s">
        <v>1298</v>
      </c>
      <c r="B1324" s="247">
        <v>937400</v>
      </c>
      <c r="C1324" s="247">
        <f>SUM(C1325:C1327)</f>
        <v>1236600</v>
      </c>
      <c r="D1324" s="247">
        <f>SUM(D1325:D1327)</f>
        <v>1360260</v>
      </c>
      <c r="E1324" s="247">
        <f>SUM(E1325:E1327)</f>
        <v>1496286.0000000002</v>
      </c>
    </row>
    <row r="1325" spans="1:5" ht="22.05" hidden="1" customHeight="1" outlineLevel="1">
      <c r="A1325" s="224" t="s">
        <v>1288</v>
      </c>
      <c r="B1325" s="239"/>
      <c r="C1325" s="239"/>
      <c r="D1325" s="239">
        <f t="shared" ref="D1325:E1325" si="532">C1325*1.1</f>
        <v>0</v>
      </c>
      <c r="E1325" s="239">
        <f t="shared" si="532"/>
        <v>0</v>
      </c>
    </row>
    <row r="1326" spans="1:5" ht="22.05" hidden="1" customHeight="1" outlineLevel="1">
      <c r="A1326" s="224" t="s">
        <v>1289</v>
      </c>
      <c r="B1326" s="239">
        <v>937400</v>
      </c>
      <c r="C1326" s="239">
        <f>'Itemized Budget 2026-27'!E3004</f>
        <v>1236600</v>
      </c>
      <c r="D1326" s="239">
        <f t="shared" ref="D1326:E1326" si="533">C1326*1.1</f>
        <v>1360260</v>
      </c>
      <c r="E1326" s="239">
        <f t="shared" si="533"/>
        <v>1496286.0000000002</v>
      </c>
    </row>
    <row r="1327" spans="1:5" ht="22.05" hidden="1" customHeight="1" outlineLevel="1">
      <c r="A1327" s="224" t="s">
        <v>1290</v>
      </c>
      <c r="B1327" s="239"/>
      <c r="C1327" s="239"/>
      <c r="D1327" s="239">
        <f t="shared" ref="D1327:E1327" si="534">C1327*1.1</f>
        <v>0</v>
      </c>
      <c r="E1327" s="239">
        <f t="shared" si="534"/>
        <v>0</v>
      </c>
    </row>
    <row r="1328" spans="1:5" ht="22.05" hidden="1" customHeight="1" outlineLevel="1">
      <c r="A1328" s="218" t="s">
        <v>1291</v>
      </c>
      <c r="B1328" s="247">
        <v>32085518.75</v>
      </c>
      <c r="C1328" s="247">
        <f>SUM(C1329:C1330)</f>
        <v>39376080</v>
      </c>
      <c r="D1328" s="247">
        <f t="shared" ref="D1328:E1328" si="535">SUM(D1329:D1330)</f>
        <v>43313688</v>
      </c>
      <c r="E1328" s="247">
        <f t="shared" si="535"/>
        <v>47645056.800000004</v>
      </c>
    </row>
    <row r="1329" spans="1:5" ht="22.05" hidden="1" customHeight="1" outlineLevel="1">
      <c r="A1329" s="224" t="s">
        <v>1299</v>
      </c>
      <c r="B1329" s="239">
        <v>32085518.75</v>
      </c>
      <c r="C1329" s="239">
        <f>'Itemized Budget 2026-27'!E3009</f>
        <v>39376080</v>
      </c>
      <c r="D1329" s="239">
        <f t="shared" ref="D1329:E1329" si="536">C1329*1.1</f>
        <v>43313688</v>
      </c>
      <c r="E1329" s="239">
        <f t="shared" si="536"/>
        <v>47645056.800000004</v>
      </c>
    </row>
    <row r="1330" spans="1:5" ht="22.05" hidden="1" customHeight="1" outlineLevel="1">
      <c r="A1330" s="224" t="s">
        <v>1300</v>
      </c>
      <c r="B1330" s="239">
        <v>0</v>
      </c>
      <c r="C1330" s="239">
        <v>0</v>
      </c>
      <c r="D1330" s="239">
        <f t="shared" ref="D1330:E1330" si="537">C1330*1.1</f>
        <v>0</v>
      </c>
      <c r="E1330" s="239">
        <f t="shared" si="537"/>
        <v>0</v>
      </c>
    </row>
    <row r="1331" spans="1:5" ht="22.05" hidden="1" customHeight="1" outlineLevel="1">
      <c r="A1331" s="218" t="s">
        <v>1301</v>
      </c>
      <c r="B1331" s="247">
        <v>33022918.75</v>
      </c>
      <c r="C1331" s="247">
        <f>C1328+C1324</f>
        <v>40612680</v>
      </c>
      <c r="D1331" s="247">
        <f>D1328+D1324</f>
        <v>44673948</v>
      </c>
      <c r="E1331" s="247">
        <f>E1328+E1324</f>
        <v>49141342.800000004</v>
      </c>
    </row>
    <row r="1332" spans="1:5" ht="22.05" hidden="1" customHeight="1" outlineLevel="1">
      <c r="B1332" s="209"/>
      <c r="C1332" s="209"/>
      <c r="D1332" s="209"/>
      <c r="E1332" s="209"/>
    </row>
    <row r="1333" spans="1:5" ht="22.05" hidden="1" customHeight="1" outlineLevel="1">
      <c r="A1333" s="201" t="s">
        <v>1485</v>
      </c>
      <c r="B1333" s="209"/>
      <c r="C1333" s="209"/>
      <c r="D1333" s="209"/>
      <c r="E1333" s="209"/>
    </row>
    <row r="1334" spans="1:5" ht="22.05" hidden="1" customHeight="1" outlineLevel="1">
      <c r="A1334" s="210" t="s">
        <v>1287</v>
      </c>
      <c r="B1334" s="822" t="s">
        <v>1257</v>
      </c>
      <c r="C1334" s="822" t="s">
        <v>1258</v>
      </c>
      <c r="D1334" s="824" t="s">
        <v>1259</v>
      </c>
      <c r="E1334" s="825"/>
    </row>
    <row r="1335" spans="1:5" ht="22.05" hidden="1" customHeight="1" outlineLevel="1">
      <c r="A1335" s="211"/>
      <c r="B1335" s="823"/>
      <c r="C1335" s="823"/>
      <c r="D1335" s="788" t="s">
        <v>1260</v>
      </c>
      <c r="E1335" s="788" t="s">
        <v>1261</v>
      </c>
    </row>
    <row r="1336" spans="1:5" ht="22.05" hidden="1" customHeight="1" outlineLevel="1">
      <c r="A1336" s="218" t="s">
        <v>1298</v>
      </c>
      <c r="B1336" s="247">
        <v>8116883.5999999996</v>
      </c>
      <c r="C1336" s="247">
        <f>SUM(C1337:C1339)</f>
        <v>6706091</v>
      </c>
      <c r="D1336" s="247">
        <f>SUM(D1337:D1339)</f>
        <v>7376700.1000000006</v>
      </c>
      <c r="E1336" s="247">
        <f>SUM(E1337:E1339)</f>
        <v>8114370.1100000013</v>
      </c>
    </row>
    <row r="1337" spans="1:5" ht="22.05" hidden="1" customHeight="1" outlineLevel="1">
      <c r="A1337" s="224" t="s">
        <v>1288</v>
      </c>
      <c r="B1337" s="239"/>
      <c r="C1337" s="239"/>
      <c r="D1337" s="239">
        <f t="shared" ref="D1337:E1337" si="538">C1337*1.1</f>
        <v>0</v>
      </c>
      <c r="E1337" s="239">
        <f t="shared" si="538"/>
        <v>0</v>
      </c>
    </row>
    <row r="1338" spans="1:5" ht="22.05" hidden="1" customHeight="1" outlineLevel="1">
      <c r="A1338" s="224" t="s">
        <v>1289</v>
      </c>
      <c r="B1338" s="239">
        <v>6387873.5999999996</v>
      </c>
      <c r="C1338" s="239">
        <f>'Itemized Budget 2026-27'!E3056-'Itemized Budget 2026-27'!E3054-'Itemized Budget 2026-27'!E3051</f>
        <v>6060191</v>
      </c>
      <c r="D1338" s="239">
        <f t="shared" ref="D1338:E1338" si="539">C1338*1.1</f>
        <v>6666210.1000000006</v>
      </c>
      <c r="E1338" s="239">
        <f t="shared" si="539"/>
        <v>7332831.1100000013</v>
      </c>
    </row>
    <row r="1339" spans="1:5" ht="22.05" hidden="1" customHeight="1" outlineLevel="1">
      <c r="A1339" s="224" t="s">
        <v>1290</v>
      </c>
      <c r="B1339" s="239">
        <v>1729010</v>
      </c>
      <c r="C1339" s="239">
        <f>'Itemized Budget 2026-27'!E3051+'Itemized Budget 2026-27'!E3054</f>
        <v>645900</v>
      </c>
      <c r="D1339" s="239">
        <f t="shared" ref="D1339:E1339" si="540">C1339*1.1</f>
        <v>710490</v>
      </c>
      <c r="E1339" s="239">
        <f t="shared" si="540"/>
        <v>781539.00000000012</v>
      </c>
    </row>
    <row r="1340" spans="1:5" ht="22.05" hidden="1" customHeight="1" outlineLevel="1">
      <c r="A1340" s="218" t="s">
        <v>1291</v>
      </c>
      <c r="B1340" s="247">
        <v>10110530.140000001</v>
      </c>
      <c r="C1340" s="247">
        <f>SUM(C1341:C1342)</f>
        <v>5112016</v>
      </c>
      <c r="D1340" s="247">
        <f t="shared" ref="D1340:E1340" si="541">SUM(D1341:D1342)</f>
        <v>5623217.6000000006</v>
      </c>
      <c r="E1340" s="247">
        <f t="shared" si="541"/>
        <v>6185539.3600000013</v>
      </c>
    </row>
    <row r="1341" spans="1:5" ht="22.05" hidden="1" customHeight="1" outlineLevel="1">
      <c r="A1341" s="224" t="s">
        <v>1299</v>
      </c>
      <c r="B1341" s="239">
        <v>10110530.140000001</v>
      </c>
      <c r="C1341" s="239">
        <f>'Itemized Budget 2026-27'!E3060</f>
        <v>5112016</v>
      </c>
      <c r="D1341" s="239">
        <f t="shared" ref="D1341:E1341" si="542">C1341*1.1</f>
        <v>5623217.6000000006</v>
      </c>
      <c r="E1341" s="239">
        <f t="shared" si="542"/>
        <v>6185539.3600000013</v>
      </c>
    </row>
    <row r="1342" spans="1:5" ht="22.05" hidden="1" customHeight="1" outlineLevel="1">
      <c r="A1342" s="224" t="s">
        <v>1300</v>
      </c>
      <c r="B1342" s="239"/>
      <c r="C1342" s="239"/>
      <c r="D1342" s="239">
        <f t="shared" ref="D1342:E1342" si="543">C1342*1.1</f>
        <v>0</v>
      </c>
      <c r="E1342" s="239">
        <f t="shared" si="543"/>
        <v>0</v>
      </c>
    </row>
    <row r="1343" spans="1:5" ht="22.05" hidden="1" customHeight="1" outlineLevel="1">
      <c r="A1343" s="218" t="s">
        <v>1301</v>
      </c>
      <c r="B1343" s="247">
        <v>18227413.739999998</v>
      </c>
      <c r="C1343" s="247">
        <f>C1340+C1336</f>
        <v>11818107</v>
      </c>
      <c r="D1343" s="247">
        <f>D1340+D1336</f>
        <v>12999917.700000001</v>
      </c>
      <c r="E1343" s="247">
        <f>E1340+E1336</f>
        <v>14299909.470000003</v>
      </c>
    </row>
    <row r="1344" spans="1:5" ht="22.05" hidden="1" customHeight="1" outlineLevel="1">
      <c r="A1344" s="201"/>
      <c r="B1344" s="244"/>
      <c r="C1344" s="244"/>
      <c r="D1344" s="244"/>
      <c r="E1344" s="244"/>
    </row>
    <row r="1345" spans="1:5" ht="22.05" hidden="1" customHeight="1" outlineLevel="1">
      <c r="A1345" s="201"/>
      <c r="B1345" s="244"/>
      <c r="C1345" s="244"/>
      <c r="D1345" s="244"/>
      <c r="E1345" s="244"/>
    </row>
    <row r="1346" spans="1:5" ht="22.05" hidden="1" customHeight="1" outlineLevel="1">
      <c r="A1346" s="201" t="s">
        <v>1471</v>
      </c>
      <c r="B1346" s="209"/>
      <c r="C1346" s="209"/>
      <c r="D1346" s="209"/>
      <c r="E1346" s="209"/>
    </row>
    <row r="1347" spans="1:5" ht="22.05" hidden="1" customHeight="1" outlineLevel="1">
      <c r="A1347" s="201" t="s">
        <v>1486</v>
      </c>
      <c r="B1347" s="209"/>
      <c r="C1347" s="209"/>
      <c r="D1347" s="209"/>
      <c r="E1347" s="209"/>
    </row>
    <row r="1348" spans="1:5" ht="22.05" hidden="1" customHeight="1" outlineLevel="1">
      <c r="A1348" s="210" t="s">
        <v>1287</v>
      </c>
      <c r="B1348" s="822" t="s">
        <v>1257</v>
      </c>
      <c r="C1348" s="822" t="s">
        <v>1258</v>
      </c>
      <c r="D1348" s="824" t="s">
        <v>1259</v>
      </c>
      <c r="E1348" s="825"/>
    </row>
    <row r="1349" spans="1:5" ht="22.05" hidden="1" customHeight="1" outlineLevel="1">
      <c r="A1349" s="211"/>
      <c r="B1349" s="823"/>
      <c r="C1349" s="823"/>
      <c r="D1349" s="788" t="s">
        <v>1260</v>
      </c>
      <c r="E1349" s="788" t="s">
        <v>1261</v>
      </c>
    </row>
    <row r="1350" spans="1:5" s="201" customFormat="1" ht="22.05" hidden="1" customHeight="1" outlineLevel="1">
      <c r="A1350" s="218" t="s">
        <v>1298</v>
      </c>
      <c r="B1350" s="247">
        <v>10196735.5</v>
      </c>
      <c r="C1350" s="247">
        <f>SUM(C1351:C1353)</f>
        <v>5584235</v>
      </c>
      <c r="D1350" s="247">
        <f>SUM(D1351:D1353)</f>
        <v>6142658.5000000009</v>
      </c>
      <c r="E1350" s="247">
        <f>SUM(E1351:E1353)</f>
        <v>6756924.3500000015</v>
      </c>
    </row>
    <row r="1351" spans="1:5" ht="22.05" hidden="1" customHeight="1" outlineLevel="1">
      <c r="A1351" s="224" t="s">
        <v>1288</v>
      </c>
      <c r="B1351" s="239"/>
      <c r="C1351" s="239"/>
      <c r="D1351" s="239">
        <f t="shared" ref="D1351:E1351" si="544">C1351*1.1</f>
        <v>0</v>
      </c>
      <c r="E1351" s="239">
        <f t="shared" si="544"/>
        <v>0</v>
      </c>
    </row>
    <row r="1352" spans="1:5" ht="22.05" hidden="1" customHeight="1" outlineLevel="1">
      <c r="A1352" s="224" t="s">
        <v>1289</v>
      </c>
      <c r="B1352" s="239">
        <v>4458700</v>
      </c>
      <c r="C1352" s="239">
        <f>'Itemized Budget 2026-27'!E3096-'Itemized Budget 2026-27'!E3094</f>
        <v>5245610</v>
      </c>
      <c r="D1352" s="239">
        <f t="shared" ref="D1352:E1352" si="545">C1352*1.1</f>
        <v>5770171.0000000009</v>
      </c>
      <c r="E1352" s="239">
        <f t="shared" si="545"/>
        <v>6347188.1000000015</v>
      </c>
    </row>
    <row r="1353" spans="1:5" ht="22.05" hidden="1" customHeight="1" outlineLevel="1">
      <c r="A1353" s="224" t="s">
        <v>1290</v>
      </c>
      <c r="B1353" s="239">
        <v>5738035.5</v>
      </c>
      <c r="C1353" s="239">
        <f>'Itemized Budget 2026-27'!E3094</f>
        <v>338625</v>
      </c>
      <c r="D1353" s="239">
        <f t="shared" ref="D1353:E1353" si="546">C1353*1.1</f>
        <v>372487.50000000006</v>
      </c>
      <c r="E1353" s="239">
        <f t="shared" si="546"/>
        <v>409736.25000000012</v>
      </c>
    </row>
    <row r="1354" spans="1:5" ht="22.05" hidden="1" customHeight="1" outlineLevel="1">
      <c r="A1354" s="218" t="s">
        <v>1291</v>
      </c>
      <c r="B1354" s="247">
        <v>9781923.8100000005</v>
      </c>
      <c r="C1354" s="247">
        <f>SUM(C1355:C1356)</f>
        <v>10307884</v>
      </c>
      <c r="D1354" s="247">
        <f t="shared" ref="D1354:E1354" si="547">SUM(D1355:D1356)</f>
        <v>11338672.4</v>
      </c>
      <c r="E1354" s="247">
        <f t="shared" si="547"/>
        <v>12472539.640000001</v>
      </c>
    </row>
    <row r="1355" spans="1:5" ht="22.05" hidden="1" customHeight="1" outlineLevel="1">
      <c r="A1355" s="224" t="s">
        <v>1299</v>
      </c>
      <c r="B1355" s="239">
        <v>9781923.8100000005</v>
      </c>
      <c r="C1355" s="239">
        <f>'Itemized Budget 2026-27'!E3104</f>
        <v>10307884</v>
      </c>
      <c r="D1355" s="239">
        <f t="shared" ref="D1355:E1355" si="548">C1355*1.1</f>
        <v>11338672.4</v>
      </c>
      <c r="E1355" s="239">
        <f t="shared" si="548"/>
        <v>12472539.640000001</v>
      </c>
    </row>
    <row r="1356" spans="1:5" ht="22.05" hidden="1" customHeight="1" outlineLevel="1">
      <c r="A1356" s="224" t="s">
        <v>1300</v>
      </c>
      <c r="B1356" s="239"/>
      <c r="C1356" s="239"/>
      <c r="D1356" s="239">
        <f t="shared" ref="D1356:E1356" si="549">C1356*1.1</f>
        <v>0</v>
      </c>
      <c r="E1356" s="239">
        <f t="shared" si="549"/>
        <v>0</v>
      </c>
    </row>
    <row r="1357" spans="1:5" ht="22.05" hidden="1" customHeight="1" outlineLevel="1">
      <c r="A1357" s="218" t="s">
        <v>1301</v>
      </c>
      <c r="B1357" s="247">
        <v>19978659.309999999</v>
      </c>
      <c r="C1357" s="247">
        <f>C1354+C1350</f>
        <v>15892119</v>
      </c>
      <c r="D1357" s="247">
        <f>D1354+D1350</f>
        <v>17481330.900000002</v>
      </c>
      <c r="E1357" s="247">
        <f>E1354+E1350</f>
        <v>19229463.990000002</v>
      </c>
    </row>
    <row r="1358" spans="1:5" ht="22.05" hidden="1" customHeight="1" outlineLevel="1">
      <c r="A1358" s="201"/>
      <c r="B1358" s="244"/>
      <c r="C1358" s="244"/>
      <c r="D1358" s="244"/>
      <c r="E1358" s="244"/>
    </row>
    <row r="1359" spans="1:5" ht="22.05" hidden="1" customHeight="1" outlineLevel="1">
      <c r="A1359" s="201" t="s">
        <v>1487</v>
      </c>
      <c r="B1359" s="209"/>
      <c r="C1359" s="209"/>
      <c r="D1359" s="209"/>
      <c r="E1359" s="209"/>
    </row>
    <row r="1360" spans="1:5" ht="22.05" hidden="1" customHeight="1" outlineLevel="1">
      <c r="A1360" s="205" t="s">
        <v>1488</v>
      </c>
      <c r="B1360" s="209"/>
      <c r="C1360" s="209"/>
      <c r="D1360" s="209"/>
      <c r="E1360" s="209"/>
    </row>
    <row r="1361" spans="1:5" ht="22.05" hidden="1" customHeight="1" outlineLevel="1">
      <c r="A1361" s="210" t="s">
        <v>1287</v>
      </c>
      <c r="B1361" s="822" t="s">
        <v>1257</v>
      </c>
      <c r="C1361" s="822" t="s">
        <v>1258</v>
      </c>
      <c r="D1361" s="824" t="s">
        <v>1259</v>
      </c>
      <c r="E1361" s="825"/>
    </row>
    <row r="1362" spans="1:5" ht="22.05" hidden="1" customHeight="1" outlineLevel="1">
      <c r="A1362" s="211"/>
      <c r="B1362" s="823"/>
      <c r="C1362" s="823"/>
      <c r="D1362" s="788" t="s">
        <v>1260</v>
      </c>
      <c r="E1362" s="788" t="s">
        <v>1261</v>
      </c>
    </row>
    <row r="1363" spans="1:5" s="201" customFormat="1" ht="22.05" hidden="1" customHeight="1" outlineLevel="1">
      <c r="A1363" s="218" t="s">
        <v>1298</v>
      </c>
      <c r="B1363" s="247">
        <v>10994630</v>
      </c>
      <c r="C1363" s="247">
        <f>SUM(C1364:C1366)</f>
        <v>31647400</v>
      </c>
      <c r="D1363" s="247">
        <f>SUM(D1364:D1366)</f>
        <v>34812140</v>
      </c>
      <c r="E1363" s="247">
        <f>SUM(E1364:E1366)</f>
        <v>38293354</v>
      </c>
    </row>
    <row r="1364" spans="1:5" ht="22.05" hidden="1" customHeight="1" outlineLevel="1">
      <c r="A1364" s="224" t="s">
        <v>1288</v>
      </c>
      <c r="B1364" s="239"/>
      <c r="C1364" s="239"/>
      <c r="D1364" s="239">
        <f t="shared" ref="D1364:E1364" si="550">C1364*1.1</f>
        <v>0</v>
      </c>
      <c r="E1364" s="239">
        <f t="shared" si="550"/>
        <v>0</v>
      </c>
    </row>
    <row r="1365" spans="1:5" ht="22.05" hidden="1" customHeight="1" outlineLevel="1">
      <c r="A1365" s="224" t="s">
        <v>1289</v>
      </c>
      <c r="B1365" s="239">
        <v>10994630</v>
      </c>
      <c r="C1365" s="239">
        <f>'Itemized Budget 2026-27'!E3137-'Itemized Budget 2026-27'!E3135</f>
        <v>31490150</v>
      </c>
      <c r="D1365" s="239">
        <f t="shared" ref="D1365:E1365" si="551">C1365*1.1</f>
        <v>34639165</v>
      </c>
      <c r="E1365" s="239">
        <f t="shared" si="551"/>
        <v>38103081.5</v>
      </c>
    </row>
    <row r="1366" spans="1:5" ht="22.05" hidden="1" customHeight="1" outlineLevel="1">
      <c r="A1366" s="224" t="s">
        <v>1290</v>
      </c>
      <c r="B1366" s="239">
        <v>0</v>
      </c>
      <c r="C1366" s="239">
        <f>'Itemized Budget 2026-27'!E3135</f>
        <v>157250</v>
      </c>
      <c r="D1366" s="239">
        <f t="shared" ref="D1366:E1366" si="552">C1366*1.1</f>
        <v>172975</v>
      </c>
      <c r="E1366" s="239">
        <f t="shared" si="552"/>
        <v>190272.50000000003</v>
      </c>
    </row>
    <row r="1367" spans="1:5" ht="22.05" hidden="1" customHeight="1" outlineLevel="1">
      <c r="A1367" s="218" t="s">
        <v>1291</v>
      </c>
      <c r="B1367" s="247">
        <v>0</v>
      </c>
      <c r="C1367" s="247">
        <f>SUM(C1368:C1369)</f>
        <v>0</v>
      </c>
      <c r="D1367" s="247">
        <f t="shared" ref="D1367:E1367" si="553">SUM(D1368:D1369)</f>
        <v>0</v>
      </c>
      <c r="E1367" s="247">
        <f t="shared" si="553"/>
        <v>0</v>
      </c>
    </row>
    <row r="1368" spans="1:5" ht="22.05" hidden="1" customHeight="1" outlineLevel="1">
      <c r="A1368" s="224" t="s">
        <v>1299</v>
      </c>
      <c r="B1368" s="239"/>
      <c r="C1368" s="239"/>
      <c r="D1368" s="239">
        <f t="shared" ref="D1368:E1368" si="554">C1368*1.1</f>
        <v>0</v>
      </c>
      <c r="E1368" s="239">
        <f t="shared" si="554"/>
        <v>0</v>
      </c>
    </row>
    <row r="1369" spans="1:5" ht="22.05" hidden="1" customHeight="1" outlineLevel="1">
      <c r="A1369" s="224" t="s">
        <v>1300</v>
      </c>
      <c r="B1369" s="239">
        <v>0</v>
      </c>
      <c r="C1369" s="239">
        <v>0</v>
      </c>
      <c r="D1369" s="239">
        <f t="shared" ref="D1369:E1369" si="555">C1369*1.1</f>
        <v>0</v>
      </c>
      <c r="E1369" s="239">
        <f t="shared" si="555"/>
        <v>0</v>
      </c>
    </row>
    <row r="1370" spans="1:5" ht="22.05" hidden="1" customHeight="1" outlineLevel="1">
      <c r="A1370" s="218" t="s">
        <v>1301</v>
      </c>
      <c r="B1370" s="247">
        <v>10994630</v>
      </c>
      <c r="C1370" s="247">
        <f>C1367+C1363</f>
        <v>31647400</v>
      </c>
      <c r="D1370" s="247">
        <f>D1367+D1363</f>
        <v>34812140</v>
      </c>
      <c r="E1370" s="247">
        <f>E1367+E1363</f>
        <v>38293354</v>
      </c>
    </row>
    <row r="1371" spans="1:5" ht="22.05" hidden="1" customHeight="1" outlineLevel="1">
      <c r="B1371" s="209"/>
      <c r="C1371" s="209"/>
      <c r="D1371" s="209"/>
      <c r="E1371" s="209"/>
    </row>
    <row r="1372" spans="1:5" ht="22.05" hidden="1" customHeight="1" outlineLevel="1">
      <c r="A1372" s="205" t="s">
        <v>1489</v>
      </c>
      <c r="B1372" s="209"/>
      <c r="C1372" s="209"/>
      <c r="D1372" s="209"/>
      <c r="E1372" s="209"/>
    </row>
    <row r="1373" spans="1:5" ht="22.05" hidden="1" customHeight="1" outlineLevel="1">
      <c r="A1373" s="210" t="s">
        <v>1287</v>
      </c>
      <c r="B1373" s="822" t="s">
        <v>1257</v>
      </c>
      <c r="C1373" s="822" t="s">
        <v>1258</v>
      </c>
      <c r="D1373" s="824" t="s">
        <v>1259</v>
      </c>
      <c r="E1373" s="825"/>
    </row>
    <row r="1374" spans="1:5" ht="22.05" hidden="1" customHeight="1" outlineLevel="1">
      <c r="A1374" s="211"/>
      <c r="B1374" s="823"/>
      <c r="C1374" s="823"/>
      <c r="D1374" s="788" t="s">
        <v>1260</v>
      </c>
      <c r="E1374" s="788" t="s">
        <v>1261</v>
      </c>
    </row>
    <row r="1375" spans="1:5" s="201" customFormat="1" ht="22.05" hidden="1" customHeight="1" outlineLevel="1">
      <c r="A1375" s="218" t="s">
        <v>1298</v>
      </c>
      <c r="B1375" s="247">
        <v>1933131</v>
      </c>
      <c r="C1375" s="247">
        <f>SUM(C1376:C1378)</f>
        <v>1621331</v>
      </c>
      <c r="D1375" s="247">
        <f>SUM(D1376:D1378)</f>
        <v>1783464.1</v>
      </c>
      <c r="E1375" s="247">
        <f>SUM(E1376:E1378)</f>
        <v>1961810.5100000002</v>
      </c>
    </row>
    <row r="1376" spans="1:5" ht="22.05" hidden="1" customHeight="1" outlineLevel="1">
      <c r="A1376" s="224" t="s">
        <v>1288</v>
      </c>
      <c r="B1376" s="239"/>
      <c r="C1376" s="239"/>
      <c r="D1376" s="239">
        <f t="shared" ref="D1376:E1376" si="556">C1376*1.1</f>
        <v>0</v>
      </c>
      <c r="E1376" s="239">
        <f t="shared" si="556"/>
        <v>0</v>
      </c>
    </row>
    <row r="1377" spans="1:5" ht="22.05" hidden="1" customHeight="1" outlineLevel="1">
      <c r="A1377" s="224" t="s">
        <v>1289</v>
      </c>
      <c r="B1377" s="239">
        <v>1933131</v>
      </c>
      <c r="C1377" s="239">
        <f>'Itemized Budget 2026-27'!E3156-'Itemized Budget 2026-27'!E3154</f>
        <v>411800</v>
      </c>
      <c r="D1377" s="239">
        <f t="shared" ref="D1377:E1377" si="557">C1377*1.1</f>
        <v>452980.00000000006</v>
      </c>
      <c r="E1377" s="239">
        <f t="shared" si="557"/>
        <v>498278.00000000012</v>
      </c>
    </row>
    <row r="1378" spans="1:5" ht="22.05" hidden="1" customHeight="1" outlineLevel="1">
      <c r="A1378" s="224" t="s">
        <v>1290</v>
      </c>
      <c r="B1378" s="239"/>
      <c r="C1378" s="239">
        <f>'Itemized Budget 2026-27'!E3154</f>
        <v>1209531</v>
      </c>
      <c r="D1378" s="239">
        <f t="shared" ref="D1378:E1378" si="558">C1378*1.1</f>
        <v>1330484.1000000001</v>
      </c>
      <c r="E1378" s="239">
        <f t="shared" si="558"/>
        <v>1463532.5100000002</v>
      </c>
    </row>
    <row r="1379" spans="1:5" ht="22.05" hidden="1" customHeight="1" outlineLevel="1">
      <c r="A1379" s="218" t="s">
        <v>1291</v>
      </c>
      <c r="B1379" s="247">
        <v>0</v>
      </c>
      <c r="C1379" s="247">
        <f>SUM(C1380:C1381)</f>
        <v>0</v>
      </c>
      <c r="D1379" s="247">
        <f t="shared" ref="D1379:E1379" si="559">SUM(D1380:D1381)</f>
        <v>0</v>
      </c>
      <c r="E1379" s="247">
        <f t="shared" si="559"/>
        <v>0</v>
      </c>
    </row>
    <row r="1380" spans="1:5" ht="22.05" hidden="1" customHeight="1" outlineLevel="1">
      <c r="A1380" s="224" t="s">
        <v>1299</v>
      </c>
      <c r="B1380" s="239"/>
      <c r="C1380" s="239"/>
      <c r="D1380" s="239">
        <f t="shared" ref="D1380:E1380" si="560">C1380*1.1</f>
        <v>0</v>
      </c>
      <c r="E1380" s="239">
        <f t="shared" si="560"/>
        <v>0</v>
      </c>
    </row>
    <row r="1381" spans="1:5" ht="22.05" hidden="1" customHeight="1" outlineLevel="1">
      <c r="A1381" s="224" t="s">
        <v>1300</v>
      </c>
      <c r="B1381" s="239"/>
      <c r="C1381" s="239"/>
      <c r="D1381" s="239">
        <f t="shared" ref="D1381:E1381" si="561">C1381*1.1</f>
        <v>0</v>
      </c>
      <c r="E1381" s="239">
        <f t="shared" si="561"/>
        <v>0</v>
      </c>
    </row>
    <row r="1382" spans="1:5" ht="22.05" hidden="1" customHeight="1" outlineLevel="1">
      <c r="A1382" s="218" t="s">
        <v>1301</v>
      </c>
      <c r="B1382" s="247">
        <v>1933131</v>
      </c>
      <c r="C1382" s="247">
        <f>C1379+C1375</f>
        <v>1621331</v>
      </c>
      <c r="D1382" s="247">
        <f>D1379+D1375</f>
        <v>1783464.1</v>
      </c>
      <c r="E1382" s="247">
        <f>E1379+E1375</f>
        <v>1961810.5100000002</v>
      </c>
    </row>
    <row r="1383" spans="1:5" ht="22.05" customHeight="1" collapsed="1">
      <c r="A1383" s="201"/>
      <c r="B1383" s="244"/>
      <c r="C1383" s="244"/>
      <c r="D1383" s="244"/>
      <c r="E1383" s="244"/>
    </row>
    <row r="1384" spans="1:5" ht="22.05" customHeight="1">
      <c r="A1384" s="201" t="s">
        <v>1490</v>
      </c>
      <c r="B1384" s="208"/>
      <c r="C1384" s="208"/>
    </row>
    <row r="1385" spans="1:5" ht="22.05" hidden="1" customHeight="1" outlineLevel="1">
      <c r="A1385" s="237"/>
    </row>
    <row r="1386" spans="1:5" ht="22.05" hidden="1" customHeight="1" outlineLevel="1">
      <c r="A1386" s="201" t="s">
        <v>1255</v>
      </c>
      <c r="B1386" s="209"/>
      <c r="C1386" s="209"/>
      <c r="D1386" s="209"/>
      <c r="E1386" s="209"/>
    </row>
    <row r="1387" spans="1:5" ht="22.05" hidden="1" customHeight="1" outlineLevel="1">
      <c r="A1387" s="210" t="s">
        <v>1256</v>
      </c>
      <c r="B1387" s="822" t="s">
        <v>1257</v>
      </c>
      <c r="C1387" s="822" t="s">
        <v>1258</v>
      </c>
      <c r="D1387" s="824" t="s">
        <v>1259</v>
      </c>
      <c r="E1387" s="825"/>
    </row>
    <row r="1388" spans="1:5" ht="22.05" hidden="1" customHeight="1" outlineLevel="1">
      <c r="A1388" s="211"/>
      <c r="B1388" s="823"/>
      <c r="C1388" s="823"/>
      <c r="D1388" s="788" t="s">
        <v>1260</v>
      </c>
      <c r="E1388" s="788" t="s">
        <v>1261</v>
      </c>
    </row>
    <row r="1389" spans="1:5" ht="22.05" hidden="1" customHeight="1" outlineLevel="1">
      <c r="A1389" s="212" t="s">
        <v>1491</v>
      </c>
      <c r="B1389" s="217">
        <v>269308539.31</v>
      </c>
      <c r="C1389" s="217">
        <f>C1429</f>
        <v>295308539.31</v>
      </c>
      <c r="D1389" s="217">
        <f>D1429</f>
        <v>324839393.241</v>
      </c>
      <c r="E1389" s="217">
        <f>E1429</f>
        <v>357323332.56510007</v>
      </c>
    </row>
    <row r="1390" spans="1:5" ht="22.05" hidden="1" customHeight="1" outlineLevel="1">
      <c r="A1390" s="214" t="s">
        <v>1345</v>
      </c>
      <c r="B1390" s="215">
        <v>269308539.31</v>
      </c>
      <c r="C1390" s="215">
        <f>C1389</f>
        <v>295308539.31</v>
      </c>
      <c r="D1390" s="215">
        <f>D1389</f>
        <v>324839393.241</v>
      </c>
      <c r="E1390" s="215">
        <f>E1389</f>
        <v>357323332.56510007</v>
      </c>
    </row>
    <row r="1391" spans="1:5" ht="22.05" hidden="1" customHeight="1" outlineLevel="1">
      <c r="A1391" s="212" t="s">
        <v>1492</v>
      </c>
      <c r="B1391" s="217">
        <v>510904464.95220101</v>
      </c>
      <c r="C1391" s="217">
        <f>C1443</f>
        <v>435805759.95220113</v>
      </c>
      <c r="D1391" s="217">
        <f>D1443</f>
        <v>479386335.94742131</v>
      </c>
      <c r="E1391" s="217">
        <f>E1443</f>
        <v>527324969.54216355</v>
      </c>
    </row>
    <row r="1392" spans="1:5" ht="22.05" hidden="1" customHeight="1" outlineLevel="1">
      <c r="A1392" s="214" t="s">
        <v>1493</v>
      </c>
      <c r="B1392" s="215">
        <v>510904464.95220101</v>
      </c>
      <c r="C1392" s="215">
        <f>C1391</f>
        <v>435805759.95220113</v>
      </c>
      <c r="D1392" s="215">
        <f>D1391</f>
        <v>479386335.94742131</v>
      </c>
      <c r="E1392" s="215">
        <f>E1391</f>
        <v>527324969.54216355</v>
      </c>
    </row>
    <row r="1393" spans="1:5" ht="22.05" hidden="1" customHeight="1" outlineLevel="1">
      <c r="A1393" s="212" t="s">
        <v>1494</v>
      </c>
      <c r="B1393" s="217">
        <v>6255423.5089217303</v>
      </c>
      <c r="C1393" s="217">
        <f>C1469</f>
        <v>4473423.9999999991</v>
      </c>
      <c r="D1393" s="217">
        <f>D1469</f>
        <v>4920766.3999999994</v>
      </c>
      <c r="E1393" s="217">
        <f>E1469</f>
        <v>5412843.04</v>
      </c>
    </row>
    <row r="1394" spans="1:5" ht="22.05" hidden="1" customHeight="1" outlineLevel="1">
      <c r="A1394" s="214" t="s">
        <v>1495</v>
      </c>
      <c r="B1394" s="215">
        <v>6255423.5089217303</v>
      </c>
      <c r="C1394" s="215">
        <f>C1393</f>
        <v>4473423.9999999991</v>
      </c>
      <c r="D1394" s="215">
        <f>D1393</f>
        <v>4920766.3999999994</v>
      </c>
      <c r="E1394" s="215">
        <f>E1393</f>
        <v>5412843.04</v>
      </c>
    </row>
    <row r="1395" spans="1:5" ht="22.05" hidden="1" customHeight="1" outlineLevel="1">
      <c r="A1395" s="212" t="s">
        <v>1496</v>
      </c>
      <c r="B1395" s="217">
        <v>101264175.99205101</v>
      </c>
      <c r="C1395" s="217">
        <f>C1483</f>
        <v>56928219.992050648</v>
      </c>
      <c r="D1395" s="217">
        <f>D1483</f>
        <v>62621041.991255715</v>
      </c>
      <c r="E1395" s="217">
        <f>E1483</f>
        <v>68883146.190381289</v>
      </c>
    </row>
    <row r="1396" spans="1:5" ht="22.05" hidden="1" customHeight="1" outlineLevel="1">
      <c r="A1396" s="212" t="s">
        <v>1497</v>
      </c>
      <c r="B1396" s="217">
        <v>25708961.5388772</v>
      </c>
      <c r="C1396" s="217">
        <f>C1456</f>
        <v>26453529.04779882</v>
      </c>
      <c r="D1396" s="217">
        <f>D1456</f>
        <v>29098881.952578705</v>
      </c>
      <c r="E1396" s="217">
        <f>E1456</f>
        <v>32008770.147836577</v>
      </c>
    </row>
    <row r="1397" spans="1:5" ht="22.05" hidden="1" customHeight="1" outlineLevel="1">
      <c r="A1397" s="212" t="s">
        <v>1498</v>
      </c>
      <c r="B1397" s="217">
        <v>13958400</v>
      </c>
      <c r="C1397" s="217">
        <f>C1496</f>
        <v>6958400</v>
      </c>
      <c r="D1397" s="217">
        <f>D1496</f>
        <v>7654240.0000000009</v>
      </c>
      <c r="E1397" s="217">
        <f>E1496</f>
        <v>8419664.0000000019</v>
      </c>
    </row>
    <row r="1398" spans="1:5" ht="22.05" hidden="1" customHeight="1" outlineLevel="1">
      <c r="A1398" s="212" t="s">
        <v>1499</v>
      </c>
      <c r="B1398" s="217">
        <v>13985354.9973708</v>
      </c>
      <c r="C1398" s="217">
        <f>C1509</f>
        <v>13985354.997370809</v>
      </c>
      <c r="D1398" s="217">
        <f>D1509</f>
        <v>15383890.497107891</v>
      </c>
      <c r="E1398" s="217">
        <f>E1509</f>
        <v>16922279.546818681</v>
      </c>
    </row>
    <row r="1399" spans="1:5" ht="22.05" hidden="1" customHeight="1" outlineLevel="1">
      <c r="A1399" s="212" t="s">
        <v>1500</v>
      </c>
      <c r="B1399" s="217">
        <v>6808928.19165684</v>
      </c>
      <c r="C1399" s="217">
        <f>C1521</f>
        <v>6808928.1916568354</v>
      </c>
      <c r="D1399" s="217">
        <f>D1521</f>
        <v>7489821.0108225187</v>
      </c>
      <c r="E1399" s="217">
        <f>E1521</f>
        <v>8238803.111904772</v>
      </c>
    </row>
    <row r="1400" spans="1:5" s="201" customFormat="1" ht="22.05" hidden="1" customHeight="1" outlineLevel="1">
      <c r="A1400" s="214" t="s">
        <v>1501</v>
      </c>
      <c r="B1400" s="215">
        <v>161725820.719955</v>
      </c>
      <c r="C1400" s="215">
        <f>SUM(C1395:C1399)</f>
        <v>111134432.2288771</v>
      </c>
      <c r="D1400" s="215">
        <f>SUM(D1395:D1399)</f>
        <v>122247875.45176484</v>
      </c>
      <c r="E1400" s="215">
        <f>SUM(E1395:E1399)</f>
        <v>134472662.99694133</v>
      </c>
    </row>
    <row r="1401" spans="1:5" ht="22.05" hidden="1" customHeight="1" outlineLevel="1">
      <c r="A1401" s="218" t="s">
        <v>1285</v>
      </c>
      <c r="B1401" s="215">
        <v>948194248.49107802</v>
      </c>
      <c r="C1401" s="215">
        <f>SUM(C1390,C1392,C1394,C1400)</f>
        <v>846722155.49107814</v>
      </c>
      <c r="D1401" s="215">
        <f>SUM(D1390,D1392,D1394,D1400)</f>
        <v>931394371.04018605</v>
      </c>
      <c r="E1401" s="215">
        <f>SUM(E1390,E1392,E1394,E1400)</f>
        <v>1024533808.1442049</v>
      </c>
    </row>
    <row r="1402" spans="1:5" ht="22.05" hidden="1" customHeight="1" outlineLevel="1">
      <c r="A1402" s="237"/>
    </row>
    <row r="1403" spans="1:5" ht="22.05" hidden="1" customHeight="1" outlineLevel="1">
      <c r="A1403" s="237"/>
    </row>
    <row r="1404" spans="1:5" ht="22.05" hidden="1" customHeight="1" outlineLevel="1">
      <c r="A1404" s="201" t="s">
        <v>1323</v>
      </c>
      <c r="B1404" s="208"/>
      <c r="C1404" s="208"/>
      <c r="D1404" s="208"/>
      <c r="E1404" s="208"/>
    </row>
    <row r="1405" spans="1:5" ht="22.05" hidden="1" customHeight="1" outlineLevel="1">
      <c r="A1405" s="210" t="s">
        <v>1287</v>
      </c>
      <c r="B1405" s="822" t="s">
        <v>1257</v>
      </c>
      <c r="C1405" s="822" t="s">
        <v>1258</v>
      </c>
      <c r="D1405" s="824" t="s">
        <v>1259</v>
      </c>
      <c r="E1405" s="825"/>
    </row>
    <row r="1406" spans="1:5" ht="22.05" hidden="1" customHeight="1" outlineLevel="1">
      <c r="A1406" s="211"/>
      <c r="B1406" s="823"/>
      <c r="C1406" s="823"/>
      <c r="D1406" s="788" t="s">
        <v>1260</v>
      </c>
      <c r="E1406" s="788" t="s">
        <v>1261</v>
      </c>
    </row>
    <row r="1407" spans="1:5" ht="22.05" hidden="1" customHeight="1" outlineLevel="1">
      <c r="A1407" s="218" t="s">
        <v>1298</v>
      </c>
      <c r="B1407" s="215">
        <v>456433111.49107802</v>
      </c>
      <c r="C1407" s="215">
        <f>SUM(C1408:C1410)</f>
        <v>395722155.49107826</v>
      </c>
      <c r="D1407" s="215">
        <f t="shared" ref="D1407:E1407" si="562">SUM(D1408:D1410)</f>
        <v>435294371.04018623</v>
      </c>
      <c r="E1407" s="215">
        <f t="shared" si="562"/>
        <v>478823808.14420474</v>
      </c>
    </row>
    <row r="1408" spans="1:5" ht="22.05" hidden="1" customHeight="1" outlineLevel="1">
      <c r="A1408" s="224" t="s">
        <v>1288</v>
      </c>
      <c r="B1408" s="217">
        <v>246115956</v>
      </c>
      <c r="C1408" s="217">
        <f>C1423+C1437+C1450+C1463+C1477+C1490+C1503+C1515</f>
        <v>246115956</v>
      </c>
      <c r="D1408" s="217">
        <f t="shared" ref="D1408:E1408" si="563">D1423+D1437+D1450+D1463+D1477+D1490+D1503+D1515</f>
        <v>270727551.60000002</v>
      </c>
      <c r="E1408" s="217">
        <f t="shared" si="563"/>
        <v>297800306.76000005</v>
      </c>
    </row>
    <row r="1409" spans="1:5" ht="22.05" hidden="1" customHeight="1" outlineLevel="1">
      <c r="A1409" s="224" t="s">
        <v>1289</v>
      </c>
      <c r="B1409" s="217">
        <v>191344928.494822</v>
      </c>
      <c r="C1409" s="217">
        <f t="shared" ref="C1409:E1410" si="564">C1424+C1438+C1451+C1464+C1478+C1491+C1504+C1516</f>
        <v>143504540.49482143</v>
      </c>
      <c r="D1409" s="217">
        <f t="shared" si="564"/>
        <v>157854994.54430363</v>
      </c>
      <c r="E1409" s="217">
        <f t="shared" si="564"/>
        <v>173640493.99873397</v>
      </c>
    </row>
    <row r="1410" spans="1:5" ht="22.05" hidden="1" customHeight="1" outlineLevel="1">
      <c r="A1410" s="224" t="s">
        <v>1290</v>
      </c>
      <c r="B1410" s="217">
        <v>18972226.996256799</v>
      </c>
      <c r="C1410" s="217">
        <f t="shared" si="564"/>
        <v>6101658.9962568367</v>
      </c>
      <c r="D1410" s="217">
        <f t="shared" si="564"/>
        <v>6711824.895882519</v>
      </c>
      <c r="E1410" s="217">
        <f t="shared" si="564"/>
        <v>7383007.3854707722</v>
      </c>
    </row>
    <row r="1411" spans="1:5" ht="22.05" hidden="1" customHeight="1" outlineLevel="1">
      <c r="A1411" s="218" t="s">
        <v>1291</v>
      </c>
      <c r="B1411" s="215">
        <v>491761137</v>
      </c>
      <c r="C1411" s="215">
        <f>SUM(C1412:C1413)</f>
        <v>451000000</v>
      </c>
      <c r="D1411" s="215">
        <f t="shared" ref="D1411:E1411" si="565">SUM(D1412:D1413)</f>
        <v>496100000.00000006</v>
      </c>
      <c r="E1411" s="215">
        <f t="shared" si="565"/>
        <v>545710000.00000012</v>
      </c>
    </row>
    <row r="1412" spans="1:5" ht="22.05" hidden="1" customHeight="1" outlineLevel="1">
      <c r="A1412" s="224" t="s">
        <v>1292</v>
      </c>
      <c r="B1412" s="217">
        <v>491761137</v>
      </c>
      <c r="C1412" s="217">
        <f>C1427+C1441+C1467+C1481+C1454+C1494+C1519+C1507</f>
        <v>451000000</v>
      </c>
      <c r="D1412" s="217">
        <f t="shared" ref="D1412:E1412" si="566">D1427+D1441+D1467+D1481+D1454+D1494+D1519+D1507</f>
        <v>496100000.00000006</v>
      </c>
      <c r="E1412" s="217">
        <f t="shared" si="566"/>
        <v>545710000.00000012</v>
      </c>
    </row>
    <row r="1413" spans="1:5" ht="22.05" hidden="1" customHeight="1" outlineLevel="1">
      <c r="A1413" s="224" t="s">
        <v>1293</v>
      </c>
      <c r="B1413" s="217">
        <v>0</v>
      </c>
      <c r="C1413" s="217">
        <f>C1428+C1442+C1468+C1482+C1455+C1495+C1520+C1508</f>
        <v>0</v>
      </c>
      <c r="D1413" s="217">
        <f t="shared" ref="D1413:E1413" si="567">D1428+D1442+D1468+D1482+D1455+D1495+D1520+D1508</f>
        <v>0</v>
      </c>
      <c r="E1413" s="217">
        <f t="shared" si="567"/>
        <v>0</v>
      </c>
    </row>
    <row r="1414" spans="1:5" ht="22.05" hidden="1" customHeight="1" outlineLevel="1">
      <c r="A1414" s="218" t="s">
        <v>1294</v>
      </c>
      <c r="B1414" s="215">
        <v>948194248.49107802</v>
      </c>
      <c r="C1414" s="215">
        <f>C1407+C1411</f>
        <v>846722155.49107826</v>
      </c>
      <c r="D1414" s="215">
        <f t="shared" ref="D1414:E1414" si="568">D1407+D1411</f>
        <v>931394371.04018629</v>
      </c>
      <c r="E1414" s="215">
        <f t="shared" si="568"/>
        <v>1024533808.1442049</v>
      </c>
    </row>
    <row r="1415" spans="1:5" ht="22.05" hidden="1" customHeight="1" outlineLevel="1">
      <c r="A1415" s="237"/>
    </row>
    <row r="1416" spans="1:5" ht="22.05" hidden="1" customHeight="1" outlineLevel="1">
      <c r="A1416" s="201" t="s">
        <v>1295</v>
      </c>
    </row>
    <row r="1417" spans="1:5" ht="22.05" hidden="1" customHeight="1" outlineLevel="1">
      <c r="A1417" s="201"/>
    </row>
    <row r="1418" spans="1:5" ht="22.05" hidden="1" customHeight="1" outlineLevel="1">
      <c r="A1418" s="201" t="s">
        <v>1502</v>
      </c>
    </row>
    <row r="1419" spans="1:5" ht="22.05" hidden="1" customHeight="1" outlineLevel="1">
      <c r="A1419" s="205" t="s">
        <v>1503</v>
      </c>
    </row>
    <row r="1420" spans="1:5" ht="22.05" hidden="1" customHeight="1" outlineLevel="1">
      <c r="A1420" s="210" t="s">
        <v>1287</v>
      </c>
      <c r="B1420" s="822" t="s">
        <v>1257</v>
      </c>
      <c r="C1420" s="822" t="s">
        <v>1258</v>
      </c>
      <c r="D1420" s="824" t="s">
        <v>1259</v>
      </c>
      <c r="E1420" s="825"/>
    </row>
    <row r="1421" spans="1:5" ht="22.05" hidden="1" customHeight="1" outlineLevel="1">
      <c r="A1421" s="211"/>
      <c r="B1421" s="823"/>
      <c r="C1421" s="823"/>
      <c r="D1421" s="788" t="s">
        <v>1260</v>
      </c>
      <c r="E1421" s="788" t="s">
        <v>1261</v>
      </c>
    </row>
    <row r="1422" spans="1:5" ht="22.05" hidden="1" customHeight="1" outlineLevel="1">
      <c r="A1422" s="218" t="s">
        <v>1298</v>
      </c>
      <c r="B1422" s="215">
        <v>264308539.31</v>
      </c>
      <c r="C1422" s="215">
        <f>SUM(C1423:C1425)</f>
        <v>270308539.31</v>
      </c>
      <c r="D1422" s="215">
        <f>SUM(D1423:D1425)</f>
        <v>297339393.241</v>
      </c>
      <c r="E1422" s="215">
        <f>SUM(E1423:E1425)</f>
        <v>327073332.56510007</v>
      </c>
    </row>
    <row r="1423" spans="1:5" ht="22.05" hidden="1" customHeight="1" outlineLevel="1">
      <c r="A1423" s="224" t="s">
        <v>1288</v>
      </c>
      <c r="B1423" s="217">
        <v>246115956</v>
      </c>
      <c r="C1423" s="217">
        <f>'Itemized Budget 2026-27'!E3170+'Itemized Budget 2026-27'!E3172</f>
        <v>246115956</v>
      </c>
      <c r="D1423" s="217">
        <f>C1423*1.1</f>
        <v>270727551.60000002</v>
      </c>
      <c r="E1423" s="217">
        <f>D1423*1.1</f>
        <v>297800306.76000005</v>
      </c>
    </row>
    <row r="1424" spans="1:5" ht="22.05" hidden="1" customHeight="1" outlineLevel="1">
      <c r="A1424" s="224" t="s">
        <v>1289</v>
      </c>
      <c r="B1424" s="217">
        <v>16827588.505399998</v>
      </c>
      <c r="C1424" s="217">
        <f>'Itemized Budget 2026-27'!E3220-'Itemized Budget 2026-27'!E3218-'Itemized Budget 2026-27'!E3214-'Itemized Budget 2026-27'!E3212-'Itemized Budget 2026-27'!E3170-'Itemized Budget 2026-27'!E3172</f>
        <v>22827588.505400002</v>
      </c>
      <c r="D1424" s="217">
        <f t="shared" ref="D1424:E1424" si="569">C1424*1.1</f>
        <v>25110347.355940003</v>
      </c>
      <c r="E1424" s="217">
        <f t="shared" si="569"/>
        <v>27621382.091534004</v>
      </c>
    </row>
    <row r="1425" spans="1:5" ht="22.05" hidden="1" customHeight="1" outlineLevel="1">
      <c r="A1425" s="224" t="s">
        <v>1290</v>
      </c>
      <c r="B1425" s="217">
        <v>1364994.8045999999</v>
      </c>
      <c r="C1425" s="217">
        <f>'Itemized Budget 2026-27'!E3212+'Itemized Budget 2026-27'!E3214+'Itemized Budget 2026-27'!E3218</f>
        <v>1364994.8045999999</v>
      </c>
      <c r="D1425" s="217">
        <f t="shared" ref="D1425:E1425" si="570">C1425*1.1</f>
        <v>1501494.2850600001</v>
      </c>
      <c r="E1425" s="217">
        <f t="shared" si="570"/>
        <v>1651643.7135660003</v>
      </c>
    </row>
    <row r="1426" spans="1:5" ht="22.05" hidden="1" customHeight="1" outlineLevel="1">
      <c r="A1426" s="218" t="s">
        <v>1291</v>
      </c>
      <c r="B1426" s="215">
        <v>5000000</v>
      </c>
      <c r="C1426" s="215">
        <f>SUM(C1427:C1428)</f>
        <v>25000000</v>
      </c>
      <c r="D1426" s="215">
        <f t="shared" ref="D1426:E1426" si="571">SUM(D1427:D1428)</f>
        <v>27500000.000000004</v>
      </c>
      <c r="E1426" s="215">
        <f t="shared" si="571"/>
        <v>30250000.000000007</v>
      </c>
    </row>
    <row r="1427" spans="1:5" ht="22.05" hidden="1" customHeight="1" outlineLevel="1">
      <c r="A1427" s="224" t="s">
        <v>1299</v>
      </c>
      <c r="B1427" s="217">
        <v>5000000</v>
      </c>
      <c r="C1427" s="217">
        <f>'Itemized Budget 2026-27'!E3224</f>
        <v>25000000</v>
      </c>
      <c r="D1427" s="217">
        <f t="shared" ref="D1427:E1427" si="572">C1427*1.1</f>
        <v>27500000.000000004</v>
      </c>
      <c r="E1427" s="217">
        <f t="shared" si="572"/>
        <v>30250000.000000007</v>
      </c>
    </row>
    <row r="1428" spans="1:5" ht="22.05" hidden="1" customHeight="1" outlineLevel="1">
      <c r="A1428" s="224" t="s">
        <v>1300</v>
      </c>
      <c r="B1428" s="217"/>
      <c r="C1428" s="217"/>
      <c r="D1428" s="217">
        <f t="shared" ref="D1428:E1428" si="573">C1428*1.1</f>
        <v>0</v>
      </c>
      <c r="E1428" s="217">
        <f t="shared" si="573"/>
        <v>0</v>
      </c>
    </row>
    <row r="1429" spans="1:5" ht="22.05" hidden="1" customHeight="1" outlineLevel="1">
      <c r="A1429" s="218" t="s">
        <v>1301</v>
      </c>
      <c r="B1429" s="215">
        <v>269308539.31</v>
      </c>
      <c r="C1429" s="215">
        <f>SUM(C1422,C1426)</f>
        <v>295308539.31</v>
      </c>
      <c r="D1429" s="215">
        <f>SUM(D1422,D1426)</f>
        <v>324839393.241</v>
      </c>
      <c r="E1429" s="215">
        <f>SUM(E1422,E1426)</f>
        <v>357323332.56510007</v>
      </c>
    </row>
    <row r="1430" spans="1:5" ht="22.05" hidden="1" customHeight="1" outlineLevel="1"/>
    <row r="1431" spans="1:5" ht="22.05" hidden="1" customHeight="1" outlineLevel="1">
      <c r="A1431" s="205" t="s">
        <v>1504</v>
      </c>
    </row>
    <row r="1432" spans="1:5" ht="22.05" hidden="1" customHeight="1" outlineLevel="1">
      <c r="A1432" s="201" t="s">
        <v>1505</v>
      </c>
    </row>
    <row r="1433" spans="1:5" ht="22.05" hidden="1" customHeight="1" outlineLevel="1">
      <c r="A1433" s="205" t="s">
        <v>1506</v>
      </c>
    </row>
    <row r="1434" spans="1:5" ht="22.05" hidden="1" customHeight="1" outlineLevel="1">
      <c r="A1434" s="210" t="s">
        <v>1287</v>
      </c>
      <c r="B1434" s="822" t="s">
        <v>1257</v>
      </c>
      <c r="C1434" s="822" t="s">
        <v>1258</v>
      </c>
      <c r="D1434" s="824" t="s">
        <v>1259</v>
      </c>
      <c r="E1434" s="825"/>
    </row>
    <row r="1435" spans="1:5" ht="22.05" hidden="1" customHeight="1" outlineLevel="1">
      <c r="A1435" s="211"/>
      <c r="B1435" s="823"/>
      <c r="C1435" s="823"/>
      <c r="D1435" s="788" t="s">
        <v>1260</v>
      </c>
      <c r="E1435" s="788" t="s">
        <v>1261</v>
      </c>
    </row>
    <row r="1436" spans="1:5" ht="22.05" hidden="1" customHeight="1" outlineLevel="1">
      <c r="A1436" s="218" t="s">
        <v>1298</v>
      </c>
      <c r="B1436" s="215">
        <v>24143327.952201199</v>
      </c>
      <c r="C1436" s="215">
        <f>SUM(C1437:C1439)</f>
        <v>9805759.9522011578</v>
      </c>
      <c r="D1436" s="215">
        <f>SUM(D1437:D1439)</f>
        <v>10786335.947421275</v>
      </c>
      <c r="E1436" s="215">
        <f>SUM(E1437:E1439)</f>
        <v>11864969.542163404</v>
      </c>
    </row>
    <row r="1437" spans="1:5" ht="22.05" hidden="1" customHeight="1" outlineLevel="1">
      <c r="A1437" s="224" t="s">
        <v>1288</v>
      </c>
      <c r="B1437" s="217"/>
      <c r="C1437" s="217"/>
      <c r="D1437" s="217">
        <f t="shared" ref="D1437:E1437" si="574">C1437*1.1</f>
        <v>0</v>
      </c>
      <c r="E1437" s="217">
        <f t="shared" si="574"/>
        <v>0</v>
      </c>
    </row>
    <row r="1438" spans="1:5" ht="22.05" hidden="1" customHeight="1" outlineLevel="1">
      <c r="A1438" s="224" t="s">
        <v>1289</v>
      </c>
      <c r="B1438" s="217">
        <v>10385759.952201201</v>
      </c>
      <c r="C1438" s="217">
        <f>'Itemized Budget 2026-27'!E3406-'Itemized Budget 2026-27'!E3404-'Itemized Budget 2026-27'!E3402-'Itemized Budget 2026-27'!E3400</f>
        <v>8518759.9522011578</v>
      </c>
      <c r="D1438" s="217">
        <f t="shared" ref="D1438:E1438" si="575">C1438*1.1</f>
        <v>9370635.9474212751</v>
      </c>
      <c r="E1438" s="217">
        <f t="shared" si="575"/>
        <v>10307699.542163404</v>
      </c>
    </row>
    <row r="1439" spans="1:5" ht="22.05" hidden="1" customHeight="1" outlineLevel="1">
      <c r="A1439" s="224" t="s">
        <v>1290</v>
      </c>
      <c r="B1439" s="217">
        <v>13757568</v>
      </c>
      <c r="C1439" s="217">
        <f>'Itemized Budget 2026-27'!E3400+'Itemized Budget 2026-27'!E3402+'Itemized Budget 2026-27'!E3404</f>
        <v>1287000</v>
      </c>
      <c r="D1439" s="217">
        <f t="shared" ref="D1439:E1439" si="576">C1439*1.1</f>
        <v>1415700</v>
      </c>
      <c r="E1439" s="217">
        <f t="shared" si="576"/>
        <v>1557270.0000000002</v>
      </c>
    </row>
    <row r="1440" spans="1:5" ht="22.05" hidden="1" customHeight="1" outlineLevel="1">
      <c r="A1440" s="218" t="s">
        <v>1291</v>
      </c>
      <c r="B1440" s="215">
        <v>486761137</v>
      </c>
      <c r="C1440" s="215">
        <f>SUM(C1441:C1442)</f>
        <v>426000000</v>
      </c>
      <c r="D1440" s="215">
        <f t="shared" ref="D1440:E1440" si="577">SUM(D1441:D1442)</f>
        <v>468600000.00000006</v>
      </c>
      <c r="E1440" s="215">
        <f t="shared" si="577"/>
        <v>515460000.00000012</v>
      </c>
    </row>
    <row r="1441" spans="1:5" ht="22.05" hidden="1" customHeight="1" outlineLevel="1">
      <c r="A1441" s="224" t="s">
        <v>1299</v>
      </c>
      <c r="B1441" s="217">
        <v>486761137</v>
      </c>
      <c r="C1441" s="217">
        <f>'Itemized Budget 2026-27'!E3411</f>
        <v>426000000</v>
      </c>
      <c r="D1441" s="217">
        <f t="shared" ref="D1441:E1441" si="578">C1441*1.1</f>
        <v>468600000.00000006</v>
      </c>
      <c r="E1441" s="217">
        <f t="shared" si="578"/>
        <v>515460000.00000012</v>
      </c>
    </row>
    <row r="1442" spans="1:5" ht="22.05" hidden="1" customHeight="1" outlineLevel="1">
      <c r="A1442" s="224" t="s">
        <v>1300</v>
      </c>
      <c r="B1442" s="217"/>
      <c r="C1442" s="217"/>
      <c r="D1442" s="217">
        <f t="shared" ref="D1442:E1442" si="579">C1442*1.1</f>
        <v>0</v>
      </c>
      <c r="E1442" s="217">
        <f t="shared" si="579"/>
        <v>0</v>
      </c>
    </row>
    <row r="1443" spans="1:5" s="202" customFormat="1" ht="22.05" hidden="1" customHeight="1" outlineLevel="1">
      <c r="A1443" s="218" t="s">
        <v>1301</v>
      </c>
      <c r="B1443" s="215">
        <v>510904464.95220101</v>
      </c>
      <c r="C1443" s="215">
        <f>SUM(C1436,C1440)</f>
        <v>435805759.95220113</v>
      </c>
      <c r="D1443" s="215">
        <f>SUM(D1436,D1440)</f>
        <v>479386335.94742131</v>
      </c>
      <c r="E1443" s="215">
        <f>SUM(E1436,E1440)</f>
        <v>527324969.54216355</v>
      </c>
    </row>
    <row r="1444" spans="1:5" ht="22.05" hidden="1" customHeight="1" outlineLevel="1"/>
    <row r="1445" spans="1:5" ht="22.05" hidden="1" customHeight="1" outlineLevel="1"/>
    <row r="1446" spans="1:5" s="201" customFormat="1" ht="22.05" hidden="1" customHeight="1" outlineLevel="1">
      <c r="A1446" s="201" t="s">
        <v>1507</v>
      </c>
      <c r="B1446" s="208"/>
      <c r="C1446" s="208"/>
      <c r="D1446" s="208"/>
      <c r="E1446" s="208"/>
    </row>
    <row r="1447" spans="1:5" ht="22.05" hidden="1" customHeight="1" outlineLevel="1">
      <c r="A1447" s="210" t="s">
        <v>1287</v>
      </c>
      <c r="B1447" s="822" t="s">
        <v>1257</v>
      </c>
      <c r="C1447" s="822" t="s">
        <v>1258</v>
      </c>
      <c r="D1447" s="824" t="s">
        <v>1259</v>
      </c>
      <c r="E1447" s="825"/>
    </row>
    <row r="1448" spans="1:5" ht="22.05" hidden="1" customHeight="1" outlineLevel="1">
      <c r="A1448" s="211"/>
      <c r="B1448" s="823"/>
      <c r="C1448" s="823"/>
      <c r="D1448" s="788" t="s">
        <v>1260</v>
      </c>
      <c r="E1448" s="788" t="s">
        <v>1261</v>
      </c>
    </row>
    <row r="1449" spans="1:5" ht="22.05" hidden="1" customHeight="1" outlineLevel="1">
      <c r="A1449" s="218" t="s">
        <v>1298</v>
      </c>
      <c r="B1449" s="215">
        <v>25708961.5388772</v>
      </c>
      <c r="C1449" s="215">
        <f>SUM(C1450:C1452)</f>
        <v>26453529.04779882</v>
      </c>
      <c r="D1449" s="215">
        <f>SUM(D1450:D1452)</f>
        <v>29098881.952578705</v>
      </c>
      <c r="E1449" s="215">
        <f>SUM(E1450:E1452)</f>
        <v>32008770.147836577</v>
      </c>
    </row>
    <row r="1450" spans="1:5" ht="22.05" hidden="1" customHeight="1" outlineLevel="1">
      <c r="A1450" s="224" t="s">
        <v>1288</v>
      </c>
      <c r="B1450" s="217">
        <v>0</v>
      </c>
      <c r="C1450" s="217">
        <f>0</f>
        <v>0</v>
      </c>
      <c r="D1450" s="217">
        <f t="shared" ref="D1450:E1450" si="580">C1450*1.1</f>
        <v>0</v>
      </c>
      <c r="E1450" s="217">
        <f t="shared" si="580"/>
        <v>0</v>
      </c>
    </row>
    <row r="1451" spans="1:5" ht="22.05" hidden="1" customHeight="1" outlineLevel="1">
      <c r="A1451" s="224" t="s">
        <v>1289</v>
      </c>
      <c r="B1451" s="217">
        <v>25258961.5388772</v>
      </c>
      <c r="C1451" s="217">
        <f>'Itemized Budget 2026-27'!E3442-'Itemized Budget 2026-27'!E3440</f>
        <v>26003529.04779882</v>
      </c>
      <c r="D1451" s="217">
        <f t="shared" ref="D1451:E1451" si="581">C1451*1.1</f>
        <v>28603881.952578705</v>
      </c>
      <c r="E1451" s="217">
        <f t="shared" si="581"/>
        <v>31464270.147836577</v>
      </c>
    </row>
    <row r="1452" spans="1:5" ht="22.05" hidden="1" customHeight="1" outlineLevel="1">
      <c r="A1452" s="224" t="s">
        <v>1290</v>
      </c>
      <c r="B1452" s="217">
        <v>450000</v>
      </c>
      <c r="C1452" s="217">
        <f>'Itemized Budget 2026-27'!E3440</f>
        <v>450000</v>
      </c>
      <c r="D1452" s="217">
        <f t="shared" ref="D1452:E1452" si="582">C1452*1.1</f>
        <v>495000.00000000006</v>
      </c>
      <c r="E1452" s="217">
        <f t="shared" si="582"/>
        <v>544500.00000000012</v>
      </c>
    </row>
    <row r="1453" spans="1:5" ht="22.05" hidden="1" customHeight="1" outlineLevel="1">
      <c r="A1453" s="218" t="s">
        <v>1291</v>
      </c>
      <c r="B1453" s="215">
        <v>0</v>
      </c>
      <c r="C1453" s="215">
        <f>SUM(C1454:C1455)</f>
        <v>0</v>
      </c>
      <c r="D1453" s="215">
        <f t="shared" ref="D1453:E1453" si="583">SUM(D1454:D1455)</f>
        <v>0</v>
      </c>
      <c r="E1453" s="215">
        <f t="shared" si="583"/>
        <v>0</v>
      </c>
    </row>
    <row r="1454" spans="1:5" ht="22.05" hidden="1" customHeight="1" outlineLevel="1">
      <c r="A1454" s="224" t="s">
        <v>1299</v>
      </c>
      <c r="B1454" s="217">
        <v>0</v>
      </c>
      <c r="C1454" s="217">
        <v>0</v>
      </c>
      <c r="D1454" s="217">
        <f t="shared" ref="D1454:E1454" si="584">C1454*1.1</f>
        <v>0</v>
      </c>
      <c r="E1454" s="217">
        <f t="shared" si="584"/>
        <v>0</v>
      </c>
    </row>
    <row r="1455" spans="1:5" ht="22.05" hidden="1" customHeight="1" outlineLevel="1">
      <c r="A1455" s="224" t="s">
        <v>1300</v>
      </c>
      <c r="B1455" s="217">
        <v>0</v>
      </c>
      <c r="C1455" s="217">
        <v>0</v>
      </c>
      <c r="D1455" s="217">
        <f t="shared" ref="D1455:E1455" si="585">C1455*1.1</f>
        <v>0</v>
      </c>
      <c r="E1455" s="217">
        <f t="shared" si="585"/>
        <v>0</v>
      </c>
    </row>
    <row r="1456" spans="1:5" ht="22.05" hidden="1" customHeight="1" outlineLevel="1">
      <c r="A1456" s="218" t="s">
        <v>1301</v>
      </c>
      <c r="B1456" s="215">
        <v>25708961.5388772</v>
      </c>
      <c r="C1456" s="215">
        <f>SUM(C1449,C1453)</f>
        <v>26453529.04779882</v>
      </c>
      <c r="D1456" s="215">
        <f>SUM(D1449,D1453)</f>
        <v>29098881.952578705</v>
      </c>
      <c r="E1456" s="215">
        <f>SUM(E1449,E1453)</f>
        <v>32008770.147836577</v>
      </c>
    </row>
    <row r="1457" spans="1:5" ht="22.05" hidden="1" customHeight="1" outlineLevel="1"/>
    <row r="1458" spans="1:5" ht="22.05" hidden="1" customHeight="1" outlineLevel="1">
      <c r="A1458" s="201" t="s">
        <v>1508</v>
      </c>
    </row>
    <row r="1459" spans="1:5" ht="22.05" hidden="1" customHeight="1" outlineLevel="1">
      <c r="A1459" s="205" t="s">
        <v>1509</v>
      </c>
    </row>
    <row r="1460" spans="1:5" ht="22.05" hidden="1" customHeight="1" outlineLevel="1">
      <c r="A1460" s="210" t="s">
        <v>1287</v>
      </c>
      <c r="B1460" s="822" t="s">
        <v>1257</v>
      </c>
      <c r="C1460" s="822" t="s">
        <v>1258</v>
      </c>
      <c r="D1460" s="824" t="s">
        <v>1259</v>
      </c>
      <c r="E1460" s="825"/>
    </row>
    <row r="1461" spans="1:5" ht="22.05" hidden="1" customHeight="1" outlineLevel="1">
      <c r="A1461" s="211"/>
      <c r="B1461" s="823"/>
      <c r="C1461" s="823"/>
      <c r="D1461" s="788" t="s">
        <v>1260</v>
      </c>
      <c r="E1461" s="788" t="s">
        <v>1261</v>
      </c>
    </row>
    <row r="1462" spans="1:5" ht="22.05" hidden="1" customHeight="1" outlineLevel="1">
      <c r="A1462" s="218" t="s">
        <v>1298</v>
      </c>
      <c r="B1462" s="215">
        <v>6255423.5089217303</v>
      </c>
      <c r="C1462" s="215">
        <f>SUM(C1463:C1465)</f>
        <v>4473423.9999999991</v>
      </c>
      <c r="D1462" s="215">
        <f>SUM(D1463:D1465)</f>
        <v>4920766.3999999994</v>
      </c>
      <c r="E1462" s="215">
        <f>SUM(E1463:E1465)</f>
        <v>5412843.04</v>
      </c>
    </row>
    <row r="1463" spans="1:5" ht="22.05" hidden="1" customHeight="1" outlineLevel="1">
      <c r="A1463" s="224" t="s">
        <v>1288</v>
      </c>
      <c r="B1463" s="217"/>
      <c r="C1463" s="217"/>
      <c r="D1463" s="217">
        <f t="shared" ref="D1463:E1463" si="586">C1463*1.1</f>
        <v>0</v>
      </c>
      <c r="E1463" s="217">
        <f t="shared" si="586"/>
        <v>0</v>
      </c>
    </row>
    <row r="1464" spans="1:5" ht="22.05" hidden="1" customHeight="1" outlineLevel="1">
      <c r="A1464" s="224" t="s">
        <v>1289</v>
      </c>
      <c r="B1464" s="217">
        <v>5770223.5089217303</v>
      </c>
      <c r="C1464" s="217">
        <f>'Itemized Budget 2026-27'!E3471-'Itemized Budget 2026-27'!E3469</f>
        <v>4388223.9999999991</v>
      </c>
      <c r="D1464" s="217">
        <f t="shared" ref="D1464:E1464" si="587">C1464*1.1</f>
        <v>4827046.3999999994</v>
      </c>
      <c r="E1464" s="217">
        <f t="shared" si="587"/>
        <v>5309751.04</v>
      </c>
    </row>
    <row r="1465" spans="1:5" ht="22.05" hidden="1" customHeight="1" outlineLevel="1">
      <c r="A1465" s="224" t="s">
        <v>1290</v>
      </c>
      <c r="B1465" s="217">
        <v>485200</v>
      </c>
      <c r="C1465" s="217">
        <f>'Itemized Budget 2026-27'!E3469</f>
        <v>85200</v>
      </c>
      <c r="D1465" s="217">
        <f t="shared" ref="D1465:E1465" si="588">C1465*1.1</f>
        <v>93720.000000000015</v>
      </c>
      <c r="E1465" s="217">
        <f t="shared" si="588"/>
        <v>103092.00000000003</v>
      </c>
    </row>
    <row r="1466" spans="1:5" ht="22.05" hidden="1" customHeight="1" outlineLevel="1">
      <c r="A1466" s="218" t="s">
        <v>1291</v>
      </c>
      <c r="B1466" s="217">
        <v>0</v>
      </c>
      <c r="C1466" s="217">
        <f>SUM(C1467:C1468)</f>
        <v>0</v>
      </c>
      <c r="D1466" s="217">
        <f t="shared" ref="D1466:E1466" si="589">SUM(D1467:D1468)</f>
        <v>0</v>
      </c>
      <c r="E1466" s="217">
        <f t="shared" si="589"/>
        <v>0</v>
      </c>
    </row>
    <row r="1467" spans="1:5" ht="22.05" hidden="1" customHeight="1" outlineLevel="1">
      <c r="A1467" s="224" t="s">
        <v>1299</v>
      </c>
      <c r="B1467" s="217"/>
      <c r="C1467" s="217"/>
      <c r="D1467" s="217">
        <f t="shared" ref="D1467:E1467" si="590">C1467*1.1</f>
        <v>0</v>
      </c>
      <c r="E1467" s="217">
        <f t="shared" si="590"/>
        <v>0</v>
      </c>
    </row>
    <row r="1468" spans="1:5" ht="22.05" hidden="1" customHeight="1" outlineLevel="1">
      <c r="A1468" s="224" t="s">
        <v>1300</v>
      </c>
      <c r="B1468" s="217">
        <v>0</v>
      </c>
      <c r="C1468" s="217">
        <v>0</v>
      </c>
      <c r="D1468" s="217">
        <f t="shared" ref="D1468:E1468" si="591">C1468*1.1</f>
        <v>0</v>
      </c>
      <c r="E1468" s="217">
        <f t="shared" si="591"/>
        <v>0</v>
      </c>
    </row>
    <row r="1469" spans="1:5" ht="22.05" hidden="1" customHeight="1" outlineLevel="1">
      <c r="A1469" s="224" t="s">
        <v>1301</v>
      </c>
      <c r="B1469" s="215">
        <v>6255423.5089217303</v>
      </c>
      <c r="C1469" s="215">
        <f>SUM(C1462,C1466)</f>
        <v>4473423.9999999991</v>
      </c>
      <c r="D1469" s="215">
        <f>SUM(D1462,D1466)</f>
        <v>4920766.3999999994</v>
      </c>
      <c r="E1469" s="215">
        <f>SUM(E1462,E1466)</f>
        <v>5412843.04</v>
      </c>
    </row>
    <row r="1470" spans="1:5" ht="22.05" hidden="1" customHeight="1" outlineLevel="1">
      <c r="B1470" s="208"/>
      <c r="C1470" s="208"/>
      <c r="D1470" s="208"/>
      <c r="E1470" s="208"/>
    </row>
    <row r="1471" spans="1:5" ht="22.05" hidden="1" customHeight="1" outlineLevel="1">
      <c r="B1471" s="208"/>
      <c r="C1471" s="208"/>
      <c r="D1471" s="208"/>
      <c r="E1471" s="208"/>
    </row>
    <row r="1472" spans="1:5" ht="22.05" hidden="1" customHeight="1" outlineLevel="1">
      <c r="A1472" s="201" t="s">
        <v>1510</v>
      </c>
    </row>
    <row r="1473" spans="1:5" ht="22.05" hidden="1" customHeight="1" outlineLevel="1">
      <c r="A1473" s="205" t="s">
        <v>1511</v>
      </c>
    </row>
    <row r="1474" spans="1:5" ht="22.05" hidden="1" customHeight="1" outlineLevel="1">
      <c r="A1474" s="210" t="s">
        <v>1287</v>
      </c>
      <c r="B1474" s="822" t="s">
        <v>1257</v>
      </c>
      <c r="C1474" s="822" t="s">
        <v>1258</v>
      </c>
      <c r="D1474" s="824" t="s">
        <v>1259</v>
      </c>
      <c r="E1474" s="825"/>
    </row>
    <row r="1475" spans="1:5" ht="22.05" hidden="1" customHeight="1" outlineLevel="1">
      <c r="A1475" s="211"/>
      <c r="B1475" s="823"/>
      <c r="C1475" s="823"/>
      <c r="D1475" s="788" t="s">
        <v>1260</v>
      </c>
      <c r="E1475" s="788" t="s">
        <v>1261</v>
      </c>
    </row>
    <row r="1476" spans="1:5" ht="22.05" hidden="1" customHeight="1" outlineLevel="1">
      <c r="A1476" s="218" t="s">
        <v>1298</v>
      </c>
      <c r="B1476" s="215">
        <v>101264175.99205101</v>
      </c>
      <c r="C1476" s="215">
        <f>SUM(C1477:C1479)</f>
        <v>56928219.992050648</v>
      </c>
      <c r="D1476" s="215">
        <f>SUM(D1477:D1479)</f>
        <v>62621041.991255715</v>
      </c>
      <c r="E1476" s="215">
        <f>SUM(E1477:E1479)</f>
        <v>68883146.190381289</v>
      </c>
    </row>
    <row r="1477" spans="1:5" ht="22.05" hidden="1" customHeight="1" outlineLevel="1">
      <c r="A1477" s="224" t="s">
        <v>1288</v>
      </c>
      <c r="B1477" s="217"/>
      <c r="C1477" s="217"/>
      <c r="D1477" s="217">
        <f t="shared" ref="D1477:E1477" si="592">C1477*1.1</f>
        <v>0</v>
      </c>
      <c r="E1477" s="217">
        <f t="shared" si="592"/>
        <v>0</v>
      </c>
    </row>
    <row r="1478" spans="1:5" ht="22.05" hidden="1" customHeight="1" outlineLevel="1">
      <c r="A1478" s="224" t="s">
        <v>1289</v>
      </c>
      <c r="B1478" s="217">
        <v>100120175.99205101</v>
      </c>
      <c r="C1478" s="217">
        <f>'Itemized Budget 2026-27'!E3267-'Itemized Budget 2026-27'!E3265</f>
        <v>55784219.992050648</v>
      </c>
      <c r="D1478" s="217">
        <f t="shared" ref="D1478:E1478" si="593">C1478*1.1</f>
        <v>61362641.991255715</v>
      </c>
      <c r="E1478" s="217">
        <f t="shared" si="593"/>
        <v>67498906.190381289</v>
      </c>
    </row>
    <row r="1479" spans="1:5" ht="22.05" hidden="1" customHeight="1" outlineLevel="1">
      <c r="A1479" s="224" t="s">
        <v>1290</v>
      </c>
      <c r="B1479" s="217">
        <v>1144000</v>
      </c>
      <c r="C1479" s="217">
        <f>'Itemized Budget 2026-27'!E3265</f>
        <v>1144000</v>
      </c>
      <c r="D1479" s="217">
        <f t="shared" ref="D1479:E1479" si="594">C1479*1.1</f>
        <v>1258400</v>
      </c>
      <c r="E1479" s="217">
        <f t="shared" si="594"/>
        <v>1384240</v>
      </c>
    </row>
    <row r="1480" spans="1:5" ht="22.05" hidden="1" customHeight="1" outlineLevel="1">
      <c r="A1480" s="218" t="s">
        <v>1291</v>
      </c>
      <c r="B1480" s="215">
        <v>0</v>
      </c>
      <c r="C1480" s="215">
        <f>SUM(C1481:C1482)</f>
        <v>0</v>
      </c>
      <c r="D1480" s="215">
        <f t="shared" ref="D1480:E1480" si="595">SUM(D1481:D1482)</f>
        <v>0</v>
      </c>
      <c r="E1480" s="215">
        <f t="shared" si="595"/>
        <v>0</v>
      </c>
    </row>
    <row r="1481" spans="1:5" ht="22.05" hidden="1" customHeight="1" outlineLevel="1">
      <c r="A1481" s="224" t="s">
        <v>1299</v>
      </c>
      <c r="B1481" s="217"/>
      <c r="C1481" s="217"/>
      <c r="D1481" s="217">
        <f t="shared" ref="D1481:E1481" si="596">C1481*1.1</f>
        <v>0</v>
      </c>
      <c r="E1481" s="217">
        <f t="shared" si="596"/>
        <v>0</v>
      </c>
    </row>
    <row r="1482" spans="1:5" ht="22.05" hidden="1" customHeight="1" outlineLevel="1">
      <c r="A1482" s="224" t="s">
        <v>1300</v>
      </c>
      <c r="B1482" s="217"/>
      <c r="C1482" s="217"/>
      <c r="D1482" s="217">
        <f t="shared" ref="D1482:E1482" si="597">C1482*1.1</f>
        <v>0</v>
      </c>
      <c r="E1482" s="217">
        <f t="shared" si="597"/>
        <v>0</v>
      </c>
    </row>
    <row r="1483" spans="1:5" ht="22.05" hidden="1" customHeight="1" outlineLevel="1">
      <c r="A1483" s="218" t="s">
        <v>1301</v>
      </c>
      <c r="B1483" s="215">
        <v>101264175.99205101</v>
      </c>
      <c r="C1483" s="215">
        <f>SUM(C1476,C1480)</f>
        <v>56928219.992050648</v>
      </c>
      <c r="D1483" s="215">
        <f>SUM(D1476,D1480)</f>
        <v>62621041.991255715</v>
      </c>
      <c r="E1483" s="215">
        <f>SUM(E1476,E1480)</f>
        <v>68883146.190381289</v>
      </c>
    </row>
    <row r="1484" spans="1:5" ht="22.05" hidden="1" customHeight="1" outlineLevel="1"/>
    <row r="1485" spans="1:5" ht="22.05" hidden="1" customHeight="1" outlineLevel="1">
      <c r="A1485" s="201" t="s">
        <v>1512</v>
      </c>
    </row>
    <row r="1486" spans="1:5" ht="22.05" hidden="1" customHeight="1" outlineLevel="1"/>
    <row r="1487" spans="1:5" ht="22.05" hidden="1" customHeight="1" outlineLevel="1">
      <c r="A1487" s="210" t="s">
        <v>1287</v>
      </c>
      <c r="B1487" s="822" t="s">
        <v>1257</v>
      </c>
      <c r="C1487" s="822" t="s">
        <v>1258</v>
      </c>
      <c r="D1487" s="824" t="s">
        <v>1259</v>
      </c>
      <c r="E1487" s="825"/>
    </row>
    <row r="1488" spans="1:5" ht="22.05" hidden="1" customHeight="1" outlineLevel="1">
      <c r="A1488" s="211"/>
      <c r="B1488" s="823"/>
      <c r="C1488" s="823"/>
      <c r="D1488" s="788" t="s">
        <v>1260</v>
      </c>
      <c r="E1488" s="788" t="s">
        <v>1261</v>
      </c>
    </row>
    <row r="1489" spans="1:5" ht="22.05" hidden="1" customHeight="1" outlineLevel="1">
      <c r="A1489" s="218" t="s">
        <v>1298</v>
      </c>
      <c r="B1489" s="215">
        <v>13958400</v>
      </c>
      <c r="C1489" s="215">
        <f>SUM(C1490:C1492)</f>
        <v>6958400</v>
      </c>
      <c r="D1489" s="215">
        <f>SUM(D1490:D1492)</f>
        <v>7654240.0000000009</v>
      </c>
      <c r="E1489" s="215">
        <f>SUM(E1490:E1492)</f>
        <v>8419664.0000000019</v>
      </c>
    </row>
    <row r="1490" spans="1:5" ht="22.05" hidden="1" customHeight="1" outlineLevel="1">
      <c r="A1490" s="224" t="s">
        <v>1288</v>
      </c>
      <c r="B1490" s="217"/>
      <c r="C1490" s="217"/>
      <c r="D1490" s="217">
        <f t="shared" ref="D1490:E1490" si="598">C1490*1.1</f>
        <v>0</v>
      </c>
      <c r="E1490" s="217">
        <f t="shared" si="598"/>
        <v>0</v>
      </c>
    </row>
    <row r="1491" spans="1:5" ht="22.05" hidden="1" customHeight="1" outlineLevel="1">
      <c r="A1491" s="224" t="s">
        <v>1289</v>
      </c>
      <c r="B1491" s="217">
        <v>13749600</v>
      </c>
      <c r="C1491" s="217">
        <f>'Itemized Budget 2026-27'!E3294-'Itemized Budget 2026-27'!E3292</f>
        <v>6749600</v>
      </c>
      <c r="D1491" s="217">
        <f t="shared" ref="D1491:E1491" si="599">C1491*1.1</f>
        <v>7424560.0000000009</v>
      </c>
      <c r="E1491" s="217">
        <f t="shared" si="599"/>
        <v>8167016.0000000019</v>
      </c>
    </row>
    <row r="1492" spans="1:5" ht="22.05" hidden="1" customHeight="1" outlineLevel="1">
      <c r="A1492" s="224" t="s">
        <v>1290</v>
      </c>
      <c r="B1492" s="217">
        <v>208800</v>
      </c>
      <c r="C1492" s="217">
        <f>'Itemized Budget 2026-27'!E3292</f>
        <v>208800</v>
      </c>
      <c r="D1492" s="217">
        <f t="shared" ref="D1492:E1492" si="600">C1492*1.1</f>
        <v>229680.00000000003</v>
      </c>
      <c r="E1492" s="217">
        <f t="shared" si="600"/>
        <v>252648.00000000006</v>
      </c>
    </row>
    <row r="1493" spans="1:5" ht="22.05" hidden="1" customHeight="1" outlineLevel="1">
      <c r="A1493" s="218" t="s">
        <v>1291</v>
      </c>
      <c r="B1493" s="215">
        <v>0</v>
      </c>
      <c r="C1493" s="215">
        <f>SUM(C1494:C1495)</f>
        <v>0</v>
      </c>
      <c r="D1493" s="215">
        <f t="shared" ref="D1493:E1493" si="601">SUM(D1494:D1495)</f>
        <v>0</v>
      </c>
      <c r="E1493" s="215">
        <f t="shared" si="601"/>
        <v>0</v>
      </c>
    </row>
    <row r="1494" spans="1:5" ht="22.05" hidden="1" customHeight="1" outlineLevel="1">
      <c r="A1494" s="224" t="s">
        <v>1299</v>
      </c>
      <c r="B1494" s="217">
        <v>0</v>
      </c>
      <c r="C1494" s="217">
        <v>0</v>
      </c>
      <c r="D1494" s="217">
        <f t="shared" ref="D1494:E1494" si="602">C1494*1.1</f>
        <v>0</v>
      </c>
      <c r="E1494" s="217">
        <f t="shared" si="602"/>
        <v>0</v>
      </c>
    </row>
    <row r="1495" spans="1:5" ht="22.05" hidden="1" customHeight="1" outlineLevel="1">
      <c r="A1495" s="224" t="s">
        <v>1300</v>
      </c>
      <c r="B1495" s="217">
        <v>0</v>
      </c>
      <c r="C1495" s="217">
        <v>0</v>
      </c>
      <c r="D1495" s="217">
        <f t="shared" ref="D1495:E1495" si="603">C1495*1.1</f>
        <v>0</v>
      </c>
      <c r="E1495" s="217">
        <f t="shared" si="603"/>
        <v>0</v>
      </c>
    </row>
    <row r="1496" spans="1:5" ht="22.05" hidden="1" customHeight="1" outlineLevel="1">
      <c r="A1496" s="218" t="s">
        <v>1301</v>
      </c>
      <c r="B1496" s="215">
        <v>13958400</v>
      </c>
      <c r="C1496" s="215">
        <f>SUM(C1489,C1493)</f>
        <v>6958400</v>
      </c>
      <c r="D1496" s="215">
        <f>SUM(D1489,D1493)</f>
        <v>7654240.0000000009</v>
      </c>
      <c r="E1496" s="215">
        <f>SUM(E1489,E1493)</f>
        <v>8419664.0000000019</v>
      </c>
    </row>
    <row r="1497" spans="1:5" ht="22.05" hidden="1" customHeight="1" outlineLevel="1"/>
    <row r="1498" spans="1:5" ht="22.05" hidden="1" customHeight="1" outlineLevel="1">
      <c r="B1498" s="208"/>
      <c r="C1498" s="208"/>
      <c r="D1498" s="208"/>
      <c r="E1498" s="208"/>
    </row>
    <row r="1499" spans="1:5" ht="22.05" hidden="1" customHeight="1" outlineLevel="1">
      <c r="A1499" s="201" t="s">
        <v>1513</v>
      </c>
    </row>
    <row r="1500" spans="1:5" ht="22.05" hidden="1" customHeight="1" outlineLevel="1">
      <c r="A1500" s="210" t="s">
        <v>1287</v>
      </c>
      <c r="B1500" s="822" t="s">
        <v>1257</v>
      </c>
      <c r="C1500" s="822" t="s">
        <v>1258</v>
      </c>
      <c r="D1500" s="824" t="s">
        <v>1259</v>
      </c>
      <c r="E1500" s="825"/>
    </row>
    <row r="1501" spans="1:5" ht="22.05" hidden="1" customHeight="1" outlineLevel="1">
      <c r="A1501" s="211"/>
      <c r="B1501" s="823"/>
      <c r="C1501" s="823"/>
      <c r="D1501" s="788" t="s">
        <v>1260</v>
      </c>
      <c r="E1501" s="788" t="s">
        <v>1261</v>
      </c>
    </row>
    <row r="1502" spans="1:5" ht="22.05" hidden="1" customHeight="1" outlineLevel="1">
      <c r="A1502" s="218" t="s">
        <v>1298</v>
      </c>
      <c r="B1502" s="215">
        <v>13985354.9973708</v>
      </c>
      <c r="C1502" s="215">
        <f>SUM(C1503:C1505)</f>
        <v>13985354.997370809</v>
      </c>
      <c r="D1502" s="215">
        <f>SUM(D1503:D1505)</f>
        <v>15383890.497107891</v>
      </c>
      <c r="E1502" s="215">
        <f>SUM(E1503:E1505)</f>
        <v>16922279.546818681</v>
      </c>
    </row>
    <row r="1503" spans="1:5" ht="22.05" hidden="1" customHeight="1" outlineLevel="1">
      <c r="A1503" s="224" t="s">
        <v>1288</v>
      </c>
      <c r="B1503" s="217">
        <v>0</v>
      </c>
      <c r="C1503" s="217">
        <v>0</v>
      </c>
      <c r="D1503" s="217">
        <f t="shared" ref="D1503:E1503" si="604">C1503*1.1</f>
        <v>0</v>
      </c>
      <c r="E1503" s="217">
        <f t="shared" si="604"/>
        <v>0</v>
      </c>
    </row>
    <row r="1504" spans="1:5" ht="22.05" hidden="1" customHeight="1" outlineLevel="1">
      <c r="A1504" s="224" t="s">
        <v>1289</v>
      </c>
      <c r="B1504" s="217">
        <v>12951364.9973708</v>
      </c>
      <c r="C1504" s="217">
        <f>'Itemized Budget 2026-27'!E3337-'Itemized Budget 2026-27'!E3334</f>
        <v>12951364.997370809</v>
      </c>
      <c r="D1504" s="217">
        <f t="shared" ref="D1504:E1504" si="605">C1504*1.1</f>
        <v>14246501.497107891</v>
      </c>
      <c r="E1504" s="217">
        <f t="shared" si="605"/>
        <v>15671151.646818683</v>
      </c>
    </row>
    <row r="1505" spans="1:5" ht="22.05" hidden="1" customHeight="1" outlineLevel="1">
      <c r="A1505" s="224" t="s">
        <v>1290</v>
      </c>
      <c r="B1505" s="217">
        <v>1033990</v>
      </c>
      <c r="C1505" s="217">
        <f>'Itemized Budget 2026-27'!E3334</f>
        <v>1033990</v>
      </c>
      <c r="D1505" s="217">
        <f t="shared" ref="D1505:E1505" si="606">C1505*1.1</f>
        <v>1137389</v>
      </c>
      <c r="E1505" s="217">
        <f t="shared" si="606"/>
        <v>1251127.9000000001</v>
      </c>
    </row>
    <row r="1506" spans="1:5" ht="22.05" hidden="1" customHeight="1" outlineLevel="1">
      <c r="A1506" s="218" t="s">
        <v>1291</v>
      </c>
      <c r="B1506" s="215">
        <v>0</v>
      </c>
      <c r="C1506" s="215">
        <f>SUM(C1507:C1508)</f>
        <v>0</v>
      </c>
      <c r="D1506" s="215">
        <f t="shared" ref="D1506:E1506" si="607">SUM(D1507:D1508)</f>
        <v>0</v>
      </c>
      <c r="E1506" s="215">
        <f t="shared" si="607"/>
        <v>0</v>
      </c>
    </row>
    <row r="1507" spans="1:5" ht="22.05" hidden="1" customHeight="1" outlineLevel="1">
      <c r="A1507" s="224" t="s">
        <v>1299</v>
      </c>
      <c r="B1507" s="217">
        <v>0</v>
      </c>
      <c r="C1507" s="217">
        <v>0</v>
      </c>
      <c r="D1507" s="217">
        <f t="shared" ref="D1507:E1507" si="608">C1507*1.1</f>
        <v>0</v>
      </c>
      <c r="E1507" s="217">
        <f t="shared" si="608"/>
        <v>0</v>
      </c>
    </row>
    <row r="1508" spans="1:5" ht="22.05" hidden="1" customHeight="1" outlineLevel="1">
      <c r="A1508" s="224" t="s">
        <v>1300</v>
      </c>
      <c r="B1508" s="217">
        <v>0</v>
      </c>
      <c r="C1508" s="217">
        <v>0</v>
      </c>
      <c r="D1508" s="217">
        <f t="shared" ref="D1508:E1508" si="609">C1508*1.1</f>
        <v>0</v>
      </c>
      <c r="E1508" s="217">
        <f t="shared" si="609"/>
        <v>0</v>
      </c>
    </row>
    <row r="1509" spans="1:5" ht="22.05" hidden="1" customHeight="1" outlineLevel="1">
      <c r="A1509" s="218" t="s">
        <v>1301</v>
      </c>
      <c r="B1509" s="215">
        <v>13985354.9973708</v>
      </c>
      <c r="C1509" s="215">
        <f>SUM(C1502,C1506)</f>
        <v>13985354.997370809</v>
      </c>
      <c r="D1509" s="215">
        <f>SUM(D1502,D1506)</f>
        <v>15383890.497107891</v>
      </c>
      <c r="E1509" s="215">
        <f>SUM(E1502,E1506)</f>
        <v>16922279.546818681</v>
      </c>
    </row>
    <row r="1510" spans="1:5" ht="22.05" hidden="1" customHeight="1" outlineLevel="1">
      <c r="A1510" s="201"/>
      <c r="B1510" s="208"/>
      <c r="C1510" s="208"/>
      <c r="D1510" s="208"/>
      <c r="E1510" s="208"/>
    </row>
    <row r="1511" spans="1:5" ht="22.05" hidden="1" customHeight="1" outlineLevel="1">
      <c r="A1511" s="218" t="s">
        <v>1514</v>
      </c>
      <c r="B1511" s="215"/>
      <c r="C1511" s="215"/>
    </row>
    <row r="1512" spans="1:5" ht="22.05" hidden="1" customHeight="1" outlineLevel="1">
      <c r="A1512" s="210" t="s">
        <v>1287</v>
      </c>
      <c r="B1512" s="822" t="s">
        <v>1257</v>
      </c>
      <c r="C1512" s="822" t="s">
        <v>1258</v>
      </c>
      <c r="D1512" s="824" t="s">
        <v>1259</v>
      </c>
      <c r="E1512" s="825"/>
    </row>
    <row r="1513" spans="1:5" ht="22.05" hidden="1" customHeight="1" outlineLevel="1">
      <c r="A1513" s="211"/>
      <c r="B1513" s="823"/>
      <c r="C1513" s="823"/>
      <c r="D1513" s="788" t="s">
        <v>1260</v>
      </c>
      <c r="E1513" s="788" t="s">
        <v>1261</v>
      </c>
    </row>
    <row r="1514" spans="1:5" ht="22.05" hidden="1" customHeight="1" outlineLevel="1">
      <c r="A1514" s="218" t="s">
        <v>1298</v>
      </c>
      <c r="B1514" s="215">
        <v>6808928.19165684</v>
      </c>
      <c r="C1514" s="215">
        <f>SUM(C1515:C1517)</f>
        <v>6808928.1916568354</v>
      </c>
      <c r="D1514" s="215">
        <f>SUM(D1515:D1517)</f>
        <v>7489821.0108225187</v>
      </c>
      <c r="E1514" s="215">
        <f>SUM(E1515:E1517)</f>
        <v>8238803.111904772</v>
      </c>
    </row>
    <row r="1515" spans="1:5" ht="22.05" hidden="1" customHeight="1" outlineLevel="1">
      <c r="A1515" s="224" t="s">
        <v>1288</v>
      </c>
      <c r="B1515" s="217"/>
      <c r="C1515" s="217"/>
      <c r="D1515" s="217">
        <f t="shared" ref="D1515:E1515" si="610">C1515*1.1</f>
        <v>0</v>
      </c>
      <c r="E1515" s="217">
        <f t="shared" si="610"/>
        <v>0</v>
      </c>
    </row>
    <row r="1516" spans="1:5" ht="22.05" hidden="1" customHeight="1" outlineLevel="1">
      <c r="A1516" s="224" t="s">
        <v>1289</v>
      </c>
      <c r="B1516" s="217">
        <v>6281254</v>
      </c>
      <c r="C1516" s="217">
        <f>'Itemized Budget 2026-27'!E3362-'Itemized Budget 2026-27'!E3360</f>
        <v>6281253.9999999991</v>
      </c>
      <c r="D1516" s="217">
        <f t="shared" ref="D1516:E1516" si="611">C1516*1.1</f>
        <v>6909379.3999999994</v>
      </c>
      <c r="E1516" s="217">
        <f t="shared" si="611"/>
        <v>7600317.3399999999</v>
      </c>
    </row>
    <row r="1517" spans="1:5" ht="22.05" hidden="1" customHeight="1" outlineLevel="1">
      <c r="A1517" s="224" t="s">
        <v>1290</v>
      </c>
      <c r="B1517" s="217">
        <v>527674.19165683596</v>
      </c>
      <c r="C1517" s="217">
        <f>'Itemized Budget 2026-27'!E3360</f>
        <v>527674.19165683596</v>
      </c>
      <c r="D1517" s="217">
        <f t="shared" ref="D1517:E1517" si="612">C1517*1.1</f>
        <v>580441.61082251964</v>
      </c>
      <c r="E1517" s="217">
        <f t="shared" si="612"/>
        <v>638485.77190477168</v>
      </c>
    </row>
    <row r="1518" spans="1:5" ht="22.05" hidden="1" customHeight="1" outlineLevel="1">
      <c r="A1518" s="218" t="s">
        <v>1291</v>
      </c>
      <c r="B1518" s="215">
        <v>0</v>
      </c>
      <c r="C1518" s="215">
        <f>SUM(C1519:C1520)</f>
        <v>0</v>
      </c>
      <c r="D1518" s="215">
        <f t="shared" ref="D1518:E1518" si="613">SUM(D1519:D1520)</f>
        <v>0</v>
      </c>
      <c r="E1518" s="215">
        <f t="shared" si="613"/>
        <v>0</v>
      </c>
    </row>
    <row r="1519" spans="1:5" ht="22.05" hidden="1" customHeight="1" outlineLevel="1">
      <c r="A1519" s="224" t="s">
        <v>1299</v>
      </c>
      <c r="B1519" s="217">
        <v>0</v>
      </c>
      <c r="C1519" s="217">
        <v>0</v>
      </c>
      <c r="D1519" s="217">
        <f t="shared" ref="D1519:E1519" si="614">C1519*1.1</f>
        <v>0</v>
      </c>
      <c r="E1519" s="217">
        <f t="shared" si="614"/>
        <v>0</v>
      </c>
    </row>
    <row r="1520" spans="1:5" ht="22.05" hidden="1" customHeight="1" outlineLevel="1">
      <c r="A1520" s="224" t="s">
        <v>1300</v>
      </c>
      <c r="B1520" s="217">
        <v>0</v>
      </c>
      <c r="C1520" s="217">
        <v>0</v>
      </c>
      <c r="D1520" s="217">
        <f t="shared" ref="D1520:E1520" si="615">C1520*1.1</f>
        <v>0</v>
      </c>
      <c r="E1520" s="217">
        <f t="shared" si="615"/>
        <v>0</v>
      </c>
    </row>
    <row r="1521" spans="1:5" ht="22.05" hidden="1" customHeight="1" outlineLevel="1">
      <c r="A1521" s="218" t="s">
        <v>1301</v>
      </c>
      <c r="B1521" s="215">
        <v>6808928.19165684</v>
      </c>
      <c r="C1521" s="215">
        <f>SUM(C1514,C1518)</f>
        <v>6808928.1916568354</v>
      </c>
      <c r="D1521" s="215">
        <f>SUM(D1514,D1518)</f>
        <v>7489821.0108225187</v>
      </c>
      <c r="E1521" s="215">
        <f>SUM(E1514,E1518)</f>
        <v>8238803.111904772</v>
      </c>
    </row>
    <row r="1522" spans="1:5" ht="22.05" hidden="1" customHeight="1" outlineLevel="1">
      <c r="A1522" s="237"/>
    </row>
    <row r="1523" spans="1:5" ht="22.05" customHeight="1" collapsed="1">
      <c r="A1523" s="237"/>
    </row>
    <row r="1524" spans="1:5" ht="22.05" customHeight="1">
      <c r="A1524" s="201" t="s">
        <v>1515</v>
      </c>
      <c r="B1524" s="208"/>
      <c r="C1524" s="208"/>
    </row>
    <row r="1525" spans="1:5" ht="22.05" hidden="1" customHeight="1" outlineLevel="1">
      <c r="A1525" s="201"/>
      <c r="B1525" s="208"/>
      <c r="C1525" s="208"/>
    </row>
    <row r="1526" spans="1:5" ht="22.05" hidden="1" customHeight="1" outlineLevel="1">
      <c r="A1526" s="201"/>
      <c r="B1526" s="209"/>
      <c r="C1526" s="209"/>
      <c r="D1526" s="209"/>
      <c r="E1526" s="209"/>
    </row>
    <row r="1527" spans="1:5" ht="22.05" hidden="1" customHeight="1" outlineLevel="1">
      <c r="A1527" s="201" t="s">
        <v>1255</v>
      </c>
      <c r="B1527" s="209"/>
      <c r="C1527" s="209"/>
      <c r="D1527" s="209"/>
      <c r="E1527" s="209"/>
    </row>
    <row r="1528" spans="1:5" ht="22.05" hidden="1" customHeight="1" outlineLevel="1">
      <c r="A1528" s="210" t="s">
        <v>1256</v>
      </c>
      <c r="B1528" s="822" t="s">
        <v>1257</v>
      </c>
      <c r="C1528" s="822" t="s">
        <v>1258</v>
      </c>
      <c r="D1528" s="824" t="s">
        <v>1259</v>
      </c>
      <c r="E1528" s="825"/>
    </row>
    <row r="1529" spans="1:5" ht="22.05" hidden="1" customHeight="1" outlineLevel="1">
      <c r="A1529" s="211"/>
      <c r="B1529" s="823"/>
      <c r="C1529" s="823"/>
      <c r="D1529" s="788" t="s">
        <v>1260</v>
      </c>
      <c r="E1529" s="788" t="s">
        <v>1261</v>
      </c>
    </row>
    <row r="1530" spans="1:5" ht="22.05" hidden="1" customHeight="1" outlineLevel="1">
      <c r="A1530" s="205" t="s">
        <v>1516</v>
      </c>
      <c r="B1530" s="260">
        <v>63662992</v>
      </c>
      <c r="C1530" s="260">
        <f>C1649</f>
        <v>66372992</v>
      </c>
      <c r="D1530" s="260">
        <f t="shared" ref="D1530:E1530" si="616">D1649</f>
        <v>73010291.200000003</v>
      </c>
      <c r="E1530" s="260">
        <f t="shared" si="616"/>
        <v>80311320.320000008</v>
      </c>
    </row>
    <row r="1531" spans="1:5" ht="22.05" hidden="1" customHeight="1" outlineLevel="1">
      <c r="A1531" s="235" t="s">
        <v>314</v>
      </c>
      <c r="B1531" s="261">
        <v>63662992</v>
      </c>
      <c r="C1531" s="261">
        <f>C1530</f>
        <v>66372992</v>
      </c>
      <c r="D1531" s="261">
        <f t="shared" ref="D1531:E1531" si="617">D1530</f>
        <v>73010291.200000003</v>
      </c>
      <c r="E1531" s="261">
        <f t="shared" si="617"/>
        <v>80311320.320000008</v>
      </c>
    </row>
    <row r="1532" spans="1:5" ht="22.05" hidden="1" customHeight="1" outlineLevel="1">
      <c r="A1532" s="212" t="s">
        <v>1517</v>
      </c>
      <c r="B1532" s="213">
        <v>254537540</v>
      </c>
      <c r="C1532" s="213">
        <f>C1592</f>
        <v>243095114</v>
      </c>
      <c r="D1532" s="213">
        <f t="shared" ref="D1532:E1532" si="618">D1592</f>
        <v>267404625.40000004</v>
      </c>
      <c r="E1532" s="213">
        <f t="shared" si="618"/>
        <v>294145087.94000006</v>
      </c>
    </row>
    <row r="1533" spans="1:5" ht="22.05" hidden="1" customHeight="1" outlineLevel="1">
      <c r="A1533" s="214" t="s">
        <v>1518</v>
      </c>
      <c r="B1533" s="225">
        <v>254537540</v>
      </c>
      <c r="C1533" s="225">
        <f>C1532</f>
        <v>243095114</v>
      </c>
      <c r="D1533" s="225">
        <f t="shared" ref="D1533:E1533" si="619">D1532</f>
        <v>267404625.40000004</v>
      </c>
      <c r="E1533" s="225">
        <f t="shared" si="619"/>
        <v>294145087.94000006</v>
      </c>
    </row>
    <row r="1534" spans="1:5" ht="22.05" hidden="1" customHeight="1" outlineLevel="1">
      <c r="A1534" s="212" t="s">
        <v>1519</v>
      </c>
      <c r="B1534" s="213">
        <v>46760677</v>
      </c>
      <c r="C1534" s="213">
        <f>C1607</f>
        <v>28020677</v>
      </c>
      <c r="D1534" s="213">
        <f t="shared" ref="D1534:E1534" si="620">D1607</f>
        <v>30822744.700000003</v>
      </c>
      <c r="E1534" s="213">
        <f t="shared" si="620"/>
        <v>33905019.170000009</v>
      </c>
    </row>
    <row r="1535" spans="1:5" ht="22.05" hidden="1" customHeight="1" outlineLevel="1">
      <c r="A1535" s="214" t="s">
        <v>1520</v>
      </c>
      <c r="B1535" s="225">
        <v>46760677</v>
      </c>
      <c r="C1535" s="225">
        <f>C1534</f>
        <v>28020677</v>
      </c>
      <c r="D1535" s="225">
        <f t="shared" ref="D1535:E1535" si="621">D1534</f>
        <v>30822744.700000003</v>
      </c>
      <c r="E1535" s="225">
        <f t="shared" si="621"/>
        <v>33905019.170000009</v>
      </c>
    </row>
    <row r="1536" spans="1:5" ht="22.05" hidden="1" customHeight="1" outlineLevel="1">
      <c r="A1536" s="214" t="s">
        <v>1521</v>
      </c>
      <c r="B1536" s="213">
        <v>107147934</v>
      </c>
      <c r="C1536" s="213">
        <f>C1620</f>
        <v>83733034</v>
      </c>
      <c r="D1536" s="213">
        <f t="shared" ref="D1536:E1536" si="622">D1620</f>
        <v>92106337.400000006</v>
      </c>
      <c r="E1536" s="213">
        <f t="shared" si="622"/>
        <v>101316971.14000002</v>
      </c>
    </row>
    <row r="1537" spans="1:5" ht="22.05" hidden="1" customHeight="1" outlineLevel="1">
      <c r="A1537" s="214" t="s">
        <v>1522</v>
      </c>
      <c r="B1537" s="225">
        <v>107147934</v>
      </c>
      <c r="C1537" s="225">
        <f>C1536</f>
        <v>83733034</v>
      </c>
      <c r="D1537" s="225">
        <f t="shared" ref="D1537:E1537" si="623">D1536</f>
        <v>92106337.400000006</v>
      </c>
      <c r="E1537" s="225">
        <f t="shared" si="623"/>
        <v>101316971.14000002</v>
      </c>
    </row>
    <row r="1538" spans="1:5" ht="22.05" hidden="1" customHeight="1" outlineLevel="1">
      <c r="A1538" s="212" t="s">
        <v>1523</v>
      </c>
      <c r="B1538" s="213">
        <v>10813447</v>
      </c>
      <c r="C1538" s="213">
        <f>C1634</f>
        <v>12722394</v>
      </c>
      <c r="D1538" s="213">
        <f t="shared" ref="D1538:E1538" si="624">D1634</f>
        <v>13994633.4</v>
      </c>
      <c r="E1538" s="213">
        <f t="shared" si="624"/>
        <v>15394096.740000002</v>
      </c>
    </row>
    <row r="1539" spans="1:5" ht="22.05" hidden="1" customHeight="1" outlineLevel="1">
      <c r="A1539" s="214" t="s">
        <v>1524</v>
      </c>
      <c r="B1539" s="225">
        <v>10813447</v>
      </c>
      <c r="C1539" s="225">
        <f>C1538</f>
        <v>12722394</v>
      </c>
      <c r="D1539" s="225">
        <f t="shared" ref="D1539:E1539" si="625">D1538</f>
        <v>13994633.4</v>
      </c>
      <c r="E1539" s="225">
        <f t="shared" si="625"/>
        <v>15394096.740000002</v>
      </c>
    </row>
    <row r="1540" spans="1:5" ht="22.05" hidden="1" customHeight="1" outlineLevel="1">
      <c r="A1540" s="205" t="s">
        <v>1516</v>
      </c>
      <c r="B1540" s="260">
        <v>275780960</v>
      </c>
      <c r="C1540" s="260">
        <f>C1576</f>
        <v>281022508</v>
      </c>
      <c r="D1540" s="260">
        <f t="shared" ref="D1540:E1540" si="626">D1576</f>
        <v>309124758.80000001</v>
      </c>
      <c r="E1540" s="260">
        <f t="shared" si="626"/>
        <v>340037234.68000007</v>
      </c>
    </row>
    <row r="1541" spans="1:5" ht="22.05" hidden="1" customHeight="1" outlineLevel="1">
      <c r="A1541" s="235" t="s">
        <v>314</v>
      </c>
      <c r="B1541" s="261">
        <v>275780960</v>
      </c>
      <c r="C1541" s="261">
        <f>C1540</f>
        <v>281022508</v>
      </c>
      <c r="D1541" s="261">
        <f t="shared" ref="D1541:E1541" si="627">D1540</f>
        <v>309124758.80000001</v>
      </c>
      <c r="E1541" s="261">
        <f t="shared" si="627"/>
        <v>340037234.68000007</v>
      </c>
    </row>
    <row r="1542" spans="1:5" ht="22.05" hidden="1" customHeight="1" outlineLevel="1">
      <c r="A1542" s="212" t="s">
        <v>1525</v>
      </c>
      <c r="B1542" s="213">
        <v>28493507</v>
      </c>
      <c r="C1542" s="213">
        <f>C1663</f>
        <v>27104558</v>
      </c>
      <c r="D1542" s="213">
        <f t="shared" ref="D1542:E1542" si="628">D1663</f>
        <v>29815013.800000004</v>
      </c>
      <c r="E1542" s="213">
        <f t="shared" si="628"/>
        <v>32796515.180000003</v>
      </c>
    </row>
    <row r="1543" spans="1:5" ht="22.05" hidden="1" customHeight="1" outlineLevel="1">
      <c r="A1543" s="212" t="s">
        <v>1526</v>
      </c>
      <c r="B1543" s="213">
        <v>13231078</v>
      </c>
      <c r="C1543" s="213">
        <f>C1675</f>
        <v>16412213</v>
      </c>
      <c r="D1543" s="213">
        <f t="shared" ref="D1543:E1543" si="629">D1675</f>
        <v>18053434.300000001</v>
      </c>
      <c r="E1543" s="213">
        <f t="shared" si="629"/>
        <v>19858777.730000004</v>
      </c>
    </row>
    <row r="1544" spans="1:5" ht="22.05" hidden="1" customHeight="1" outlineLevel="1">
      <c r="A1544" s="214" t="s">
        <v>1527</v>
      </c>
      <c r="B1544" s="225">
        <v>41724585</v>
      </c>
      <c r="C1544" s="225">
        <f>C1542+C1543</f>
        <v>43516771</v>
      </c>
      <c r="D1544" s="225">
        <f t="shared" ref="D1544:E1544" si="630">D1542+D1543</f>
        <v>47868448.100000009</v>
      </c>
      <c r="E1544" s="225">
        <f t="shared" si="630"/>
        <v>52655292.910000011</v>
      </c>
    </row>
    <row r="1545" spans="1:5" ht="22.05" hidden="1" customHeight="1" outlineLevel="1">
      <c r="A1545" s="214" t="s">
        <v>1333</v>
      </c>
      <c r="B1545" s="225">
        <v>800428135</v>
      </c>
      <c r="C1545" s="225">
        <f>C1544+C1539+C1531+C1537+C1535+C1533+C1541</f>
        <v>758483490</v>
      </c>
      <c r="D1545" s="225">
        <f t="shared" ref="D1545:E1545" si="631">D1544+D1539+D1531+D1537+D1535+D1533+D1541</f>
        <v>834331839</v>
      </c>
      <c r="E1545" s="225">
        <f t="shared" si="631"/>
        <v>917765022.9000001</v>
      </c>
    </row>
    <row r="1546" spans="1:5" ht="22.05" hidden="1" customHeight="1" outlineLevel="1">
      <c r="A1546" s="235"/>
      <c r="B1546" s="236">
        <v>0</v>
      </c>
      <c r="C1546" s="236">
        <f>C1545-Summary!F14</f>
        <v>0</v>
      </c>
      <c r="D1546" s="236"/>
      <c r="E1546" s="236"/>
    </row>
    <row r="1547" spans="1:5" ht="22.05" hidden="1" customHeight="1" outlineLevel="1">
      <c r="A1547" s="235"/>
      <c r="B1547" s="236"/>
      <c r="C1547" s="236"/>
      <c r="D1547" s="236"/>
      <c r="E1547" s="236"/>
    </row>
    <row r="1548" spans="1:5" ht="22.05" hidden="1" customHeight="1" outlineLevel="1">
      <c r="A1548" s="201" t="s">
        <v>1334</v>
      </c>
      <c r="B1548" s="208"/>
      <c r="C1548" s="208"/>
      <c r="D1548" s="208"/>
      <c r="E1548" s="208"/>
    </row>
    <row r="1549" spans="1:5" ht="22.05" hidden="1" customHeight="1" outlineLevel="1">
      <c r="A1549" s="201"/>
    </row>
    <row r="1550" spans="1:5" ht="22.05" hidden="1" customHeight="1" outlineLevel="1">
      <c r="A1550" s="210" t="s">
        <v>1287</v>
      </c>
      <c r="B1550" s="822" t="s">
        <v>1257</v>
      </c>
      <c r="C1550" s="822" t="s">
        <v>1258</v>
      </c>
      <c r="D1550" s="824" t="s">
        <v>1259</v>
      </c>
      <c r="E1550" s="825"/>
    </row>
    <row r="1551" spans="1:5" ht="22.05" hidden="1" customHeight="1" outlineLevel="1">
      <c r="A1551" s="211"/>
      <c r="B1551" s="823"/>
      <c r="C1551" s="823"/>
      <c r="D1551" s="788" t="s">
        <v>1260</v>
      </c>
      <c r="E1551" s="788" t="s">
        <v>1261</v>
      </c>
    </row>
    <row r="1552" spans="1:5" ht="22.05" hidden="1" customHeight="1" outlineLevel="1">
      <c r="A1552" s="214" t="s">
        <v>1298</v>
      </c>
      <c r="B1552" s="225">
        <v>426801456</v>
      </c>
      <c r="C1552" s="225">
        <f>C1553+C1554+C1555</f>
        <v>428788304</v>
      </c>
      <c r="D1552" s="225">
        <f t="shared" ref="D1552:E1552" si="632">D1553+D1554+D1555</f>
        <v>471667134.40000004</v>
      </c>
      <c r="E1552" s="225">
        <f t="shared" si="632"/>
        <v>518833847.84000009</v>
      </c>
    </row>
    <row r="1553" spans="1:6" ht="22.05" hidden="1" customHeight="1" outlineLevel="1">
      <c r="A1553" s="212" t="s">
        <v>1288</v>
      </c>
      <c r="B1553" s="213">
        <v>322521156</v>
      </c>
      <c r="C1553" s="213">
        <f>C1628+C1657+C1669+C1643+C1586+C1601+C1614+C1570</f>
        <v>328627256</v>
      </c>
      <c r="D1553" s="213">
        <f>D1628+D1657+D1669+D1643+D1586+D1601+D1614+D1570</f>
        <v>361489981.60000002</v>
      </c>
      <c r="E1553" s="213">
        <f t="shared" ref="E1553" si="633">E1628+E1657+E1669+E1643+E1586+E1601+E1614+E1570</f>
        <v>397638979.76000011</v>
      </c>
    </row>
    <row r="1554" spans="1:6" ht="22.05" hidden="1" customHeight="1" outlineLevel="1">
      <c r="A1554" s="212" t="s">
        <v>1289</v>
      </c>
      <c r="B1554" s="213">
        <v>86243871</v>
      </c>
      <c r="C1554" s="213">
        <f>C1629+C1670+C1644+C1587+C1602+C1615+C1571+C1658</f>
        <v>79886953</v>
      </c>
      <c r="D1554" s="213">
        <f t="shared" ref="D1554:E1554" si="634">D1629+D1670+D1644+D1587+D1602+D1615+D1571+D1658</f>
        <v>87875648.300000012</v>
      </c>
      <c r="E1554" s="213">
        <f t="shared" si="634"/>
        <v>96663213.13000001</v>
      </c>
    </row>
    <row r="1555" spans="1:6" ht="22.05" hidden="1" customHeight="1" outlineLevel="1">
      <c r="A1555" s="212" t="s">
        <v>1290</v>
      </c>
      <c r="B1555" s="213">
        <v>18036429</v>
      </c>
      <c r="C1555" s="213">
        <f>C1630+C1659+C1671+C1645+C1588+C1603+C1616+C1572</f>
        <v>20274095</v>
      </c>
      <c r="D1555" s="213">
        <f t="shared" ref="D1555:E1555" si="635">D1630+D1659+D1671+D1645+D1588+D1603+D1616+D1572</f>
        <v>22301504.5</v>
      </c>
      <c r="E1555" s="213">
        <f t="shared" si="635"/>
        <v>24531654.950000003</v>
      </c>
    </row>
    <row r="1556" spans="1:6" ht="22.05" hidden="1" customHeight="1" outlineLevel="1">
      <c r="A1556" s="214" t="s">
        <v>1291</v>
      </c>
      <c r="B1556" s="225">
        <v>373626679</v>
      </c>
      <c r="C1556" s="225">
        <f>C1557+C1558</f>
        <v>329695186</v>
      </c>
      <c r="D1556" s="225">
        <f t="shared" ref="D1556:E1556" si="636">D1557+D1558</f>
        <v>362664704.60000002</v>
      </c>
      <c r="E1556" s="225">
        <f t="shared" si="636"/>
        <v>398931175.06000006</v>
      </c>
    </row>
    <row r="1557" spans="1:6" ht="22.05" hidden="1" customHeight="1" outlineLevel="1">
      <c r="A1557" s="212" t="s">
        <v>1335</v>
      </c>
      <c r="B1557" s="213">
        <v>373626679</v>
      </c>
      <c r="C1557" s="213">
        <f>C1632+C1661+C1673+C1647+C1590+C1605+C1618+C1574</f>
        <v>329695186</v>
      </c>
      <c r="D1557" s="213">
        <f>D1632+D1661+D1673+D1647+D1590+D1605+D1618+D1574</f>
        <v>362664704.60000002</v>
      </c>
      <c r="E1557" s="213">
        <f t="shared" ref="E1557" si="637">E1632+E1661+E1673+E1647+E1590+E1605+E1618+E1574</f>
        <v>398931175.06000006</v>
      </c>
    </row>
    <row r="1558" spans="1:6" ht="22.05" hidden="1" customHeight="1" outlineLevel="1">
      <c r="A1558" s="212" t="s">
        <v>1293</v>
      </c>
      <c r="B1558" s="213">
        <v>0</v>
      </c>
      <c r="C1558" s="213">
        <f t="shared" ref="C1558" si="638">C1633+C1662+C1674+C1648+C1591+C1606+C1619+C1575</f>
        <v>0</v>
      </c>
      <c r="D1558" s="213">
        <f t="shared" ref="D1558:E1558" si="639">D1633+D1662+D1674+D1648+D1591+D1606+D1619+D1575</f>
        <v>0</v>
      </c>
      <c r="E1558" s="213">
        <f t="shared" si="639"/>
        <v>0</v>
      </c>
    </row>
    <row r="1559" spans="1:6" ht="22.05" hidden="1" customHeight="1" outlineLevel="1">
      <c r="A1559" s="214" t="s">
        <v>1336</v>
      </c>
      <c r="B1559" s="225">
        <v>800428135</v>
      </c>
      <c r="C1559" s="225">
        <f>C1552+C1556</f>
        <v>758483490</v>
      </c>
      <c r="D1559" s="225">
        <f t="shared" ref="D1559:E1559" si="640">D1552+D1556</f>
        <v>834331839</v>
      </c>
      <c r="E1559" s="225">
        <f t="shared" si="640"/>
        <v>917765022.9000001</v>
      </c>
      <c r="F1559" s="246"/>
    </row>
    <row r="1560" spans="1:6" ht="22.05" hidden="1" customHeight="1" outlineLevel="1">
      <c r="A1560" s="235"/>
      <c r="B1560" s="236"/>
      <c r="C1560" s="236"/>
      <c r="D1560" s="236"/>
      <c r="E1560" s="236"/>
      <c r="F1560" s="246"/>
    </row>
    <row r="1561" spans="1:6" ht="22.05" hidden="1" customHeight="1" outlineLevel="1">
      <c r="A1561" s="235"/>
      <c r="B1561" s="236"/>
      <c r="C1561" s="236"/>
      <c r="D1561" s="236"/>
      <c r="E1561" s="236"/>
      <c r="F1561" s="246"/>
    </row>
    <row r="1562" spans="1:6" ht="22.05" hidden="1" customHeight="1" outlineLevel="1">
      <c r="A1562" s="201" t="s">
        <v>1337</v>
      </c>
    </row>
    <row r="1563" spans="1:6" ht="22.05" hidden="1" customHeight="1" outlineLevel="1"/>
    <row r="1564" spans="1:6" ht="22.05" hidden="1" customHeight="1" outlineLevel="1">
      <c r="A1564" s="201" t="s">
        <v>1528</v>
      </c>
      <c r="B1564" s="208"/>
      <c r="C1564" s="208"/>
    </row>
    <row r="1565" spans="1:6" ht="22.05" hidden="1" customHeight="1" outlineLevel="1">
      <c r="A1565" s="201" t="s">
        <v>314</v>
      </c>
      <c r="B1565" s="208"/>
      <c r="C1565" s="208"/>
    </row>
    <row r="1566" spans="1:6" ht="22.05" hidden="1" customHeight="1" outlineLevel="1">
      <c r="A1566" s="201" t="s">
        <v>315</v>
      </c>
      <c r="B1566" s="208"/>
      <c r="C1566" s="208"/>
    </row>
    <row r="1567" spans="1:6" ht="22.05" hidden="1" customHeight="1" outlineLevel="1">
      <c r="A1567" s="210" t="s">
        <v>1287</v>
      </c>
      <c r="B1567" s="822" t="s">
        <v>1257</v>
      </c>
      <c r="C1567" s="822" t="s">
        <v>1258</v>
      </c>
      <c r="D1567" s="824" t="s">
        <v>1259</v>
      </c>
      <c r="E1567" s="825"/>
    </row>
    <row r="1568" spans="1:6" ht="22.05" hidden="1" customHeight="1" outlineLevel="1">
      <c r="A1568" s="211"/>
      <c r="B1568" s="823"/>
      <c r="C1568" s="823"/>
      <c r="D1568" s="788" t="s">
        <v>1260</v>
      </c>
      <c r="E1568" s="788" t="s">
        <v>1261</v>
      </c>
    </row>
    <row r="1569" spans="1:5" ht="22.05" hidden="1" customHeight="1" outlineLevel="1">
      <c r="A1569" s="214" t="s">
        <v>1298</v>
      </c>
      <c r="B1569" s="215">
        <v>275780960</v>
      </c>
      <c r="C1569" s="215">
        <f>C1570+C1571+C1572</f>
        <v>281022508</v>
      </c>
      <c r="D1569" s="215">
        <f>D1570+D1571+D1572</f>
        <v>309124758.80000001</v>
      </c>
      <c r="E1569" s="215">
        <f>E1570+E1571+E1572</f>
        <v>340037234.68000007</v>
      </c>
    </row>
    <row r="1570" spans="1:5" ht="22.05" hidden="1" customHeight="1" outlineLevel="1">
      <c r="A1570" s="212" t="s">
        <v>1288</v>
      </c>
      <c r="B1570" s="217">
        <v>267369369</v>
      </c>
      <c r="C1570" s="217">
        <f>'Itemized Budget 2026-27'!E3483</f>
        <v>273475469</v>
      </c>
      <c r="D1570" s="217">
        <f>C1570*1.1</f>
        <v>300823015.90000004</v>
      </c>
      <c r="E1570" s="217">
        <f>D1570*1.1</f>
        <v>330905317.49000007</v>
      </c>
    </row>
    <row r="1571" spans="1:5" ht="22.05" hidden="1" customHeight="1" outlineLevel="1">
      <c r="A1571" s="212" t="s">
        <v>1289</v>
      </c>
      <c r="B1571" s="217">
        <v>7084574</v>
      </c>
      <c r="C1571" s="217">
        <f>'Itemized Budget 2026-27'!E3526-'Itemized Budget 2026-27'!E3524-'Itemized Budget 2026-27'!E3522-'Itemized Budget 2026-27'!E3483</f>
        <v>7084574</v>
      </c>
      <c r="D1571" s="217">
        <f t="shared" ref="D1571:E1571" si="641">C1571*1.1</f>
        <v>7793031.4000000004</v>
      </c>
      <c r="E1571" s="217">
        <f t="shared" si="641"/>
        <v>8572334.540000001</v>
      </c>
    </row>
    <row r="1572" spans="1:5" ht="22.05" hidden="1" customHeight="1" outlineLevel="1">
      <c r="A1572" s="212" t="s">
        <v>1290</v>
      </c>
      <c r="B1572" s="217">
        <v>1327017</v>
      </c>
      <c r="C1572" s="217">
        <f>'Itemized Budget 2026-27'!E3522+'Itemized Budget 2026-27'!E3524</f>
        <v>462465</v>
      </c>
      <c r="D1572" s="217">
        <f t="shared" ref="D1572:E1572" si="642">C1572*1.1</f>
        <v>508711.50000000006</v>
      </c>
      <c r="E1572" s="217">
        <f t="shared" si="642"/>
        <v>559582.65000000014</v>
      </c>
    </row>
    <row r="1573" spans="1:5" ht="22.05" hidden="1" customHeight="1" outlineLevel="1">
      <c r="A1573" s="214" t="s">
        <v>1291</v>
      </c>
      <c r="B1573" s="215">
        <v>0</v>
      </c>
      <c r="C1573" s="215">
        <f>C1574+C1575</f>
        <v>0</v>
      </c>
      <c r="D1573" s="215">
        <f t="shared" ref="D1573:E1573" si="643">D1574+D1575</f>
        <v>0</v>
      </c>
      <c r="E1573" s="215">
        <f t="shared" si="643"/>
        <v>0</v>
      </c>
    </row>
    <row r="1574" spans="1:5" ht="22.05" hidden="1" customHeight="1" outlineLevel="1">
      <c r="A1574" s="212" t="s">
        <v>1335</v>
      </c>
      <c r="B1574" s="217"/>
      <c r="C1574" s="217"/>
      <c r="D1574" s="217">
        <f t="shared" ref="D1574:E1574" si="644">C1574*1.1</f>
        <v>0</v>
      </c>
      <c r="E1574" s="217">
        <f t="shared" si="644"/>
        <v>0</v>
      </c>
    </row>
    <row r="1575" spans="1:5" ht="22.05" hidden="1" customHeight="1" outlineLevel="1">
      <c r="A1575" s="212" t="s">
        <v>1293</v>
      </c>
      <c r="B1575" s="217"/>
      <c r="C1575" s="217"/>
      <c r="D1575" s="217">
        <f t="shared" ref="D1575:E1575" si="645">C1575*1.1</f>
        <v>0</v>
      </c>
      <c r="E1575" s="217">
        <f t="shared" si="645"/>
        <v>0</v>
      </c>
    </row>
    <row r="1576" spans="1:5" ht="22.05" hidden="1" customHeight="1" outlineLevel="1">
      <c r="A1576" s="214" t="s">
        <v>1333</v>
      </c>
      <c r="B1576" s="215">
        <v>275780960</v>
      </c>
      <c r="C1576" s="215">
        <f>C1569+C1573</f>
        <v>281022508</v>
      </c>
      <c r="D1576" s="215">
        <f>D1569+D1573</f>
        <v>309124758.80000001</v>
      </c>
      <c r="E1576" s="215">
        <f>E1569+E1573</f>
        <v>340037234.68000007</v>
      </c>
    </row>
    <row r="1577" spans="1:5" ht="22.05" hidden="1" customHeight="1" outlineLevel="1">
      <c r="A1577" s="235"/>
      <c r="B1577" s="208"/>
      <c r="C1577" s="208"/>
      <c r="D1577" s="208"/>
      <c r="E1577" s="208"/>
    </row>
    <row r="1578" spans="1:5" ht="22.05" hidden="1" customHeight="1" outlineLevel="1">
      <c r="A1578" s="235"/>
      <c r="B1578" s="208"/>
      <c r="C1578" s="208"/>
      <c r="D1578" s="208"/>
      <c r="E1578" s="208"/>
    </row>
    <row r="1579" spans="1:5" ht="22.05" hidden="1" customHeight="1" outlineLevel="1">
      <c r="A1579" s="201" t="s">
        <v>1529</v>
      </c>
    </row>
    <row r="1580" spans="1:5" ht="22.05" hidden="1" customHeight="1" outlineLevel="1">
      <c r="A1580" s="262" t="s">
        <v>1518</v>
      </c>
    </row>
    <row r="1581" spans="1:5" ht="22.05" hidden="1" customHeight="1" outlineLevel="1">
      <c r="A1581" s="201" t="s">
        <v>1530</v>
      </c>
    </row>
    <row r="1582" spans="1:5" ht="22.05" hidden="1" customHeight="1" outlineLevel="1">
      <c r="A1582" s="201"/>
    </row>
    <row r="1583" spans="1:5" ht="22.05" hidden="1" customHeight="1" outlineLevel="1">
      <c r="A1583" s="210" t="s">
        <v>1287</v>
      </c>
      <c r="B1583" s="822" t="s">
        <v>1257</v>
      </c>
      <c r="C1583" s="822" t="s">
        <v>1258</v>
      </c>
      <c r="D1583" s="824" t="s">
        <v>1259</v>
      </c>
      <c r="E1583" s="825"/>
    </row>
    <row r="1584" spans="1:5" ht="22.05" hidden="1" customHeight="1" outlineLevel="1">
      <c r="A1584" s="211"/>
      <c r="B1584" s="823"/>
      <c r="C1584" s="823"/>
      <c r="D1584" s="788" t="s">
        <v>1260</v>
      </c>
      <c r="E1584" s="788" t="s">
        <v>1261</v>
      </c>
    </row>
    <row r="1585" spans="1:6" ht="22.05" hidden="1" customHeight="1" outlineLevel="1">
      <c r="A1585" s="214" t="s">
        <v>1298</v>
      </c>
      <c r="B1585" s="215">
        <v>6342896</v>
      </c>
      <c r="C1585" s="215">
        <f>C1586+C1587+C1588</f>
        <v>5845114</v>
      </c>
      <c r="D1585" s="215">
        <f>D1586+D1587+D1588</f>
        <v>6429625.4000000004</v>
      </c>
      <c r="E1585" s="215">
        <f>E1586+E1587+E1588</f>
        <v>7072587.9400000013</v>
      </c>
    </row>
    <row r="1586" spans="1:6" ht="22.05" hidden="1" customHeight="1" outlineLevel="1">
      <c r="A1586" s="212" t="s">
        <v>1288</v>
      </c>
      <c r="B1586" s="217">
        <v>0</v>
      </c>
      <c r="C1586" s="217">
        <v>0</v>
      </c>
      <c r="D1586" s="217">
        <f t="shared" ref="D1586:E1586" si="646">C1586*1.1</f>
        <v>0</v>
      </c>
      <c r="E1586" s="217">
        <f t="shared" si="646"/>
        <v>0</v>
      </c>
    </row>
    <row r="1587" spans="1:6" ht="22.05" hidden="1" customHeight="1" outlineLevel="1">
      <c r="A1587" s="212" t="s">
        <v>1289</v>
      </c>
      <c r="B1587" s="217">
        <v>5340896</v>
      </c>
      <c r="C1587" s="217">
        <f>'Itemized Budget 2026-27'!E3549-'Itemized Budget 2026-27'!E3547</f>
        <v>5340896</v>
      </c>
      <c r="D1587" s="217">
        <f t="shared" ref="D1587:E1587" si="647">C1587*1.1</f>
        <v>5874985.6000000006</v>
      </c>
      <c r="E1587" s="217">
        <f t="shared" si="647"/>
        <v>6462484.1600000011</v>
      </c>
    </row>
    <row r="1588" spans="1:6" ht="22.05" hidden="1" customHeight="1" outlineLevel="1">
      <c r="A1588" s="212" t="s">
        <v>1290</v>
      </c>
      <c r="B1588" s="217">
        <v>1002000</v>
      </c>
      <c r="C1588" s="217">
        <f>'Itemized Budget 2026-27'!E3547</f>
        <v>504218</v>
      </c>
      <c r="D1588" s="217">
        <f t="shared" ref="D1588:E1588" si="648">C1588*1.1</f>
        <v>554639.80000000005</v>
      </c>
      <c r="E1588" s="217">
        <f t="shared" si="648"/>
        <v>610103.78000000014</v>
      </c>
    </row>
    <row r="1589" spans="1:6" ht="22.05" hidden="1" customHeight="1" outlineLevel="1">
      <c r="A1589" s="214" t="s">
        <v>1291</v>
      </c>
      <c r="B1589" s="215">
        <v>248194644</v>
      </c>
      <c r="C1589" s="215">
        <f>C1590+C1591</f>
        <v>237250000</v>
      </c>
      <c r="D1589" s="215">
        <f t="shared" ref="D1589:E1589" si="649">D1590+D1591</f>
        <v>260975000.00000003</v>
      </c>
      <c r="E1589" s="215">
        <f t="shared" si="649"/>
        <v>287072500.00000006</v>
      </c>
    </row>
    <row r="1590" spans="1:6" ht="22.05" hidden="1" customHeight="1" outlineLevel="1">
      <c r="A1590" s="212" t="s">
        <v>1335</v>
      </c>
      <c r="B1590" s="217">
        <v>248194644</v>
      </c>
      <c r="C1590" s="217">
        <f>'Itemized Budget 2026-27'!E3557</f>
        <v>237250000</v>
      </c>
      <c r="D1590" s="217">
        <f t="shared" ref="D1590:E1590" si="650">C1590*1.1</f>
        <v>260975000.00000003</v>
      </c>
      <c r="E1590" s="217">
        <f t="shared" si="650"/>
        <v>287072500.00000006</v>
      </c>
    </row>
    <row r="1591" spans="1:6" ht="22.05" hidden="1" customHeight="1" outlineLevel="1">
      <c r="A1591" s="212" t="s">
        <v>1293</v>
      </c>
      <c r="B1591" s="217"/>
      <c r="C1591" s="217"/>
      <c r="D1591" s="217">
        <f t="shared" ref="D1591:E1591" si="651">C1591*1.1</f>
        <v>0</v>
      </c>
      <c r="E1591" s="217">
        <f t="shared" si="651"/>
        <v>0</v>
      </c>
      <c r="F1591" s="233"/>
    </row>
    <row r="1592" spans="1:6" ht="22.05" hidden="1" customHeight="1" outlineLevel="1">
      <c r="A1592" s="214" t="s">
        <v>1333</v>
      </c>
      <c r="B1592" s="215">
        <v>254537540</v>
      </c>
      <c r="C1592" s="215">
        <f>C1589+C1585</f>
        <v>243095114</v>
      </c>
      <c r="D1592" s="215">
        <f>D1589+D1585</f>
        <v>267404625.40000004</v>
      </c>
      <c r="E1592" s="215">
        <f>E1589+E1585</f>
        <v>294145087.94000006</v>
      </c>
    </row>
    <row r="1593" spans="1:6" ht="22.05" hidden="1" customHeight="1" outlineLevel="1"/>
    <row r="1594" spans="1:6" ht="22.05" hidden="1" customHeight="1" outlineLevel="1"/>
    <row r="1595" spans="1:6" ht="22.05" hidden="1" customHeight="1" outlineLevel="1">
      <c r="A1595" s="201" t="s">
        <v>1520</v>
      </c>
    </row>
    <row r="1596" spans="1:6" ht="22.05" hidden="1" customHeight="1" outlineLevel="1">
      <c r="A1596" s="201" t="s">
        <v>1519</v>
      </c>
    </row>
    <row r="1597" spans="1:6" ht="22.05" hidden="1" customHeight="1" outlineLevel="1"/>
    <row r="1598" spans="1:6" ht="22.05" hidden="1" customHeight="1" outlineLevel="1">
      <c r="A1598" s="210" t="s">
        <v>1287</v>
      </c>
      <c r="B1598" s="822" t="s">
        <v>1257</v>
      </c>
      <c r="C1598" s="822" t="s">
        <v>1258</v>
      </c>
      <c r="D1598" s="824" t="s">
        <v>1259</v>
      </c>
      <c r="E1598" s="825"/>
    </row>
    <row r="1599" spans="1:6" ht="22.05" hidden="1" customHeight="1" outlineLevel="1">
      <c r="A1599" s="211"/>
      <c r="B1599" s="823"/>
      <c r="C1599" s="823"/>
      <c r="D1599" s="788" t="s">
        <v>1260</v>
      </c>
      <c r="E1599" s="788" t="s">
        <v>1261</v>
      </c>
    </row>
    <row r="1600" spans="1:6" ht="22.05" hidden="1" customHeight="1" outlineLevel="1">
      <c r="A1600" s="214" t="s">
        <v>1298</v>
      </c>
      <c r="B1600" s="215">
        <v>28820677</v>
      </c>
      <c r="C1600" s="215">
        <f>C1601+C1602+C1603</f>
        <v>20520677</v>
      </c>
      <c r="D1600" s="215">
        <f>D1601+D1602+D1603</f>
        <v>22572744.700000003</v>
      </c>
      <c r="E1600" s="215">
        <f>E1601+E1602+E1603</f>
        <v>24830019.170000006</v>
      </c>
    </row>
    <row r="1601" spans="1:5" ht="22.05" hidden="1" customHeight="1" outlineLevel="1">
      <c r="A1601" s="212" t="s">
        <v>1288</v>
      </c>
      <c r="B1601" s="217">
        <v>0</v>
      </c>
      <c r="C1601" s="217">
        <v>0</v>
      </c>
      <c r="D1601" s="217">
        <f t="shared" ref="D1601:E1601" si="652">C1601*1.1</f>
        <v>0</v>
      </c>
      <c r="E1601" s="217">
        <f t="shared" si="652"/>
        <v>0</v>
      </c>
    </row>
    <row r="1602" spans="1:5" ht="22.05" hidden="1" customHeight="1" outlineLevel="1">
      <c r="A1602" s="212" t="s">
        <v>1289</v>
      </c>
      <c r="B1602" s="217">
        <v>28820677</v>
      </c>
      <c r="C1602" s="217">
        <f>'Itemized Budget 2026-27'!E3591</f>
        <v>20520677</v>
      </c>
      <c r="D1602" s="217">
        <f t="shared" ref="D1602:E1602" si="653">C1602*1.1</f>
        <v>22572744.700000003</v>
      </c>
      <c r="E1602" s="217">
        <f t="shared" si="653"/>
        <v>24830019.170000006</v>
      </c>
    </row>
    <row r="1603" spans="1:5" ht="22.05" hidden="1" customHeight="1" outlineLevel="1">
      <c r="A1603" s="212" t="s">
        <v>1290</v>
      </c>
      <c r="B1603" s="217">
        <v>0</v>
      </c>
      <c r="C1603" s="217">
        <v>0</v>
      </c>
      <c r="D1603" s="217">
        <f t="shared" ref="D1603:E1603" si="654">C1603*1.1</f>
        <v>0</v>
      </c>
      <c r="E1603" s="217">
        <f t="shared" si="654"/>
        <v>0</v>
      </c>
    </row>
    <row r="1604" spans="1:5" ht="22.05" hidden="1" customHeight="1" outlineLevel="1">
      <c r="A1604" s="214" t="s">
        <v>1291</v>
      </c>
      <c r="B1604" s="215">
        <v>17940000</v>
      </c>
      <c r="C1604" s="215">
        <f>C1605+C1606</f>
        <v>7500000</v>
      </c>
      <c r="D1604" s="215">
        <f t="shared" ref="D1604:E1604" si="655">D1605+D1606</f>
        <v>8250000.0000000009</v>
      </c>
      <c r="E1604" s="215">
        <f t="shared" si="655"/>
        <v>9075000.0000000019</v>
      </c>
    </row>
    <row r="1605" spans="1:5" ht="22.05" hidden="1" customHeight="1" outlineLevel="1">
      <c r="A1605" s="212" t="s">
        <v>1335</v>
      </c>
      <c r="B1605" s="217">
        <v>17940000</v>
      </c>
      <c r="C1605" s="217">
        <f>'Itemized Budget 2026-27'!E3598</f>
        <v>7500000</v>
      </c>
      <c r="D1605" s="217">
        <f t="shared" ref="D1605:E1605" si="656">C1605*1.1</f>
        <v>8250000.0000000009</v>
      </c>
      <c r="E1605" s="217">
        <f t="shared" si="656"/>
        <v>9075000.0000000019</v>
      </c>
    </row>
    <row r="1606" spans="1:5" ht="22.05" hidden="1" customHeight="1" outlineLevel="1">
      <c r="A1606" s="212" t="s">
        <v>1293</v>
      </c>
      <c r="B1606" s="217">
        <v>0</v>
      </c>
      <c r="C1606" s="217">
        <v>0</v>
      </c>
      <c r="D1606" s="217">
        <f t="shared" ref="D1606:E1606" si="657">C1606*1.1</f>
        <v>0</v>
      </c>
      <c r="E1606" s="217">
        <f t="shared" si="657"/>
        <v>0</v>
      </c>
    </row>
    <row r="1607" spans="1:5" ht="22.05" hidden="1" customHeight="1" outlineLevel="1">
      <c r="A1607" s="214" t="s">
        <v>1333</v>
      </c>
      <c r="B1607" s="215">
        <v>46760677</v>
      </c>
      <c r="C1607" s="215">
        <f>C1604+C1600</f>
        <v>28020677</v>
      </c>
      <c r="D1607" s="215">
        <f>D1604+D1600</f>
        <v>30822744.700000003</v>
      </c>
      <c r="E1607" s="215">
        <f>E1604+E1600</f>
        <v>33905019.170000009</v>
      </c>
    </row>
    <row r="1608" spans="1:5" ht="22.05" hidden="1" customHeight="1" outlineLevel="1">
      <c r="A1608" s="235"/>
      <c r="B1608" s="208"/>
      <c r="C1608" s="208"/>
      <c r="D1608" s="208"/>
      <c r="E1608" s="208"/>
    </row>
    <row r="1609" spans="1:5" ht="22.05" hidden="1" customHeight="1" outlineLevel="1"/>
    <row r="1610" spans="1:5" ht="22.05" hidden="1" customHeight="1" outlineLevel="1">
      <c r="A1610" s="201" t="s">
        <v>1531</v>
      </c>
    </row>
    <row r="1611" spans="1:5" ht="22.05" hidden="1" customHeight="1" outlineLevel="1">
      <c r="A1611" s="210" t="s">
        <v>1287</v>
      </c>
      <c r="B1611" s="822" t="s">
        <v>1257</v>
      </c>
      <c r="C1611" s="822" t="s">
        <v>1258</v>
      </c>
      <c r="D1611" s="824" t="s">
        <v>1259</v>
      </c>
      <c r="E1611" s="825"/>
    </row>
    <row r="1612" spans="1:5" ht="22.05" hidden="1" customHeight="1" outlineLevel="1">
      <c r="A1612" s="211"/>
      <c r="B1612" s="823"/>
      <c r="C1612" s="823"/>
      <c r="D1612" s="788" t="s">
        <v>1260</v>
      </c>
      <c r="E1612" s="788" t="s">
        <v>1261</v>
      </c>
    </row>
    <row r="1613" spans="1:5" ht="22.05" hidden="1" customHeight="1" outlineLevel="1">
      <c r="A1613" s="214" t="s">
        <v>1298</v>
      </c>
      <c r="B1613" s="215">
        <v>27790034</v>
      </c>
      <c r="C1613" s="215">
        <f>C1614+C1615+C1616</f>
        <v>28290034</v>
      </c>
      <c r="D1613" s="215">
        <f>D1614+D1615+D1616</f>
        <v>31119037.400000006</v>
      </c>
      <c r="E1613" s="215">
        <f>E1614+E1615+E1616</f>
        <v>34230941.140000008</v>
      </c>
    </row>
    <row r="1614" spans="1:5" ht="22.05" hidden="1" customHeight="1" outlineLevel="1">
      <c r="A1614" s="212" t="s">
        <v>1288</v>
      </c>
      <c r="B1614" s="217">
        <v>0</v>
      </c>
      <c r="C1614" s="217">
        <v>0</v>
      </c>
      <c r="D1614" s="217">
        <f t="shared" ref="D1614:E1614" si="658">C1614*1.1</f>
        <v>0</v>
      </c>
      <c r="E1614" s="217">
        <f t="shared" si="658"/>
        <v>0</v>
      </c>
    </row>
    <row r="1615" spans="1:5" ht="22.05" hidden="1" customHeight="1" outlineLevel="1">
      <c r="A1615" s="212" t="s">
        <v>1289</v>
      </c>
      <c r="B1615" s="217">
        <v>20626992</v>
      </c>
      <c r="C1615" s="217">
        <f>'Itemized Budget 2026-27'!E3651-'Itemized Budget 2026-27'!E3649-'Itemized Budget 2026-27'!E3646-'Itemized Budget 2026-27'!E3644</f>
        <v>20126992</v>
      </c>
      <c r="D1615" s="217">
        <f t="shared" ref="D1615:E1615" si="659">C1615*1.1</f>
        <v>22139691.200000003</v>
      </c>
      <c r="E1615" s="217">
        <f t="shared" si="659"/>
        <v>24353660.320000004</v>
      </c>
    </row>
    <row r="1616" spans="1:5" ht="22.05" hidden="1" customHeight="1" outlineLevel="1">
      <c r="A1616" s="212" t="s">
        <v>1290</v>
      </c>
      <c r="B1616" s="217">
        <v>7163042</v>
      </c>
      <c r="C1616" s="217">
        <f>'Itemized Budget 2026-27'!E3644+'Itemized Budget 2026-27'!E3646+'Itemized Budget 2026-27'!E3649</f>
        <v>8163042</v>
      </c>
      <c r="D1616" s="217">
        <f t="shared" ref="D1616:E1616" si="660">C1616*1.1</f>
        <v>8979346.2000000011</v>
      </c>
      <c r="E1616" s="217">
        <f t="shared" si="660"/>
        <v>9877280.8200000022</v>
      </c>
    </row>
    <row r="1617" spans="1:5" ht="22.05" hidden="1" customHeight="1" outlineLevel="1">
      <c r="A1617" s="214" t="s">
        <v>1291</v>
      </c>
      <c r="B1617" s="215">
        <v>79357900</v>
      </c>
      <c r="C1617" s="215">
        <f>C1618+C1619</f>
        <v>55443000</v>
      </c>
      <c r="D1617" s="215">
        <f t="shared" ref="D1617:E1617" si="661">D1618+D1619</f>
        <v>60987300.000000007</v>
      </c>
      <c r="E1617" s="215">
        <f t="shared" si="661"/>
        <v>67086030.000000015</v>
      </c>
    </row>
    <row r="1618" spans="1:5" ht="22.05" hidden="1" customHeight="1" outlineLevel="1">
      <c r="A1618" s="212" t="s">
        <v>1335</v>
      </c>
      <c r="B1618" s="217">
        <v>79357900</v>
      </c>
      <c r="C1618" s="217">
        <f>'Itemized Budget 2026-27'!E3668</f>
        <v>55443000</v>
      </c>
      <c r="D1618" s="217">
        <f t="shared" ref="D1618:E1618" si="662">C1618*1.1</f>
        <v>60987300.000000007</v>
      </c>
      <c r="E1618" s="217">
        <f t="shared" si="662"/>
        <v>67086030.000000015</v>
      </c>
    </row>
    <row r="1619" spans="1:5" ht="22.05" hidden="1" customHeight="1" outlineLevel="1">
      <c r="A1619" s="212" t="s">
        <v>1293</v>
      </c>
      <c r="B1619" s="217"/>
      <c r="C1619" s="217"/>
      <c r="D1619" s="217">
        <f t="shared" ref="D1619:E1619" si="663">C1619*1.1</f>
        <v>0</v>
      </c>
      <c r="E1619" s="217">
        <f t="shared" si="663"/>
        <v>0</v>
      </c>
    </row>
    <row r="1620" spans="1:5" ht="22.05" hidden="1" customHeight="1" outlineLevel="1">
      <c r="A1620" s="214" t="s">
        <v>1333</v>
      </c>
      <c r="B1620" s="215">
        <v>107147934</v>
      </c>
      <c r="C1620" s="215">
        <f>C1617+C1613</f>
        <v>83733034</v>
      </c>
      <c r="D1620" s="215">
        <f>D1617+D1613</f>
        <v>92106337.400000006</v>
      </c>
      <c r="E1620" s="215">
        <f>E1617+E1613</f>
        <v>101316971.14000002</v>
      </c>
    </row>
    <row r="1621" spans="1:5" ht="22.05" hidden="1" customHeight="1" outlineLevel="1">
      <c r="A1621" s="235"/>
      <c r="B1621" s="208"/>
      <c r="C1621" s="208"/>
      <c r="D1621" s="208"/>
      <c r="E1621" s="208"/>
    </row>
    <row r="1622" spans="1:5" ht="22.05" hidden="1" customHeight="1" outlineLevel="1">
      <c r="A1622" s="201"/>
    </row>
    <row r="1623" spans="1:5" ht="22.05" hidden="1" customHeight="1" outlineLevel="1">
      <c r="A1623" s="201" t="s">
        <v>1524</v>
      </c>
    </row>
    <row r="1624" spans="1:5" ht="22.05" hidden="1" customHeight="1" outlineLevel="1">
      <c r="A1624" s="201" t="s">
        <v>1523</v>
      </c>
    </row>
    <row r="1625" spans="1:5" ht="22.05" hidden="1" customHeight="1" outlineLevel="1">
      <c r="A1625" s="210" t="s">
        <v>1287</v>
      </c>
      <c r="B1625" s="822" t="s">
        <v>1257</v>
      </c>
      <c r="C1625" s="822" t="s">
        <v>1258</v>
      </c>
      <c r="D1625" s="824" t="s">
        <v>1259</v>
      </c>
      <c r="E1625" s="825"/>
    </row>
    <row r="1626" spans="1:5" ht="22.05" hidden="1" customHeight="1" outlineLevel="1">
      <c r="A1626" s="211"/>
      <c r="B1626" s="823"/>
      <c r="C1626" s="823"/>
      <c r="D1626" s="788" t="s">
        <v>1260</v>
      </c>
      <c r="E1626" s="788" t="s">
        <v>1261</v>
      </c>
    </row>
    <row r="1627" spans="1:5" ht="22.05" hidden="1" customHeight="1" outlineLevel="1">
      <c r="A1627" s="214" t="s">
        <v>1298</v>
      </c>
      <c r="B1627" s="215">
        <v>9513447</v>
      </c>
      <c r="C1627" s="215">
        <f>C1628+C1629+C1630</f>
        <v>8222394</v>
      </c>
      <c r="D1627" s="215">
        <f>D1628+D1629+D1630</f>
        <v>9044633.4000000004</v>
      </c>
      <c r="E1627" s="215">
        <f>E1628+E1629+E1630</f>
        <v>9949096.7400000021</v>
      </c>
    </row>
    <row r="1628" spans="1:5" ht="22.05" hidden="1" customHeight="1" outlineLevel="1">
      <c r="A1628" s="212" t="s">
        <v>1288</v>
      </c>
      <c r="B1628" s="217"/>
      <c r="C1628" s="217"/>
      <c r="D1628" s="217">
        <f t="shared" ref="D1628:E1628" si="664">C1628*1.1</f>
        <v>0</v>
      </c>
      <c r="E1628" s="217">
        <f t="shared" si="664"/>
        <v>0</v>
      </c>
    </row>
    <row r="1629" spans="1:5" ht="22.05" hidden="1" customHeight="1" outlineLevel="1">
      <c r="A1629" s="212" t="s">
        <v>1289</v>
      </c>
      <c r="B1629" s="217">
        <v>7655447</v>
      </c>
      <c r="C1629" s="217">
        <f>'Itemized Budget 2026-27'!E3710-'Itemized Budget 2026-27'!E3708</f>
        <v>6364394</v>
      </c>
      <c r="D1629" s="217">
        <f t="shared" ref="D1629:E1629" si="665">C1629*1.1</f>
        <v>7000833.4000000004</v>
      </c>
      <c r="E1629" s="217">
        <f t="shared" si="665"/>
        <v>7700916.7400000012</v>
      </c>
    </row>
    <row r="1630" spans="1:5" ht="22.05" hidden="1" customHeight="1" outlineLevel="1">
      <c r="A1630" s="212" t="s">
        <v>1290</v>
      </c>
      <c r="B1630" s="217">
        <v>1858000</v>
      </c>
      <c r="C1630" s="217">
        <f>'Itemized Budget 2026-27'!E3708</f>
        <v>1858000</v>
      </c>
      <c r="D1630" s="217">
        <f t="shared" ref="D1630:E1630" si="666">C1630*1.1</f>
        <v>2043800.0000000002</v>
      </c>
      <c r="E1630" s="217">
        <f t="shared" si="666"/>
        <v>2248180.0000000005</v>
      </c>
    </row>
    <row r="1631" spans="1:5" ht="22.05" hidden="1" customHeight="1" outlineLevel="1">
      <c r="A1631" s="214" t="s">
        <v>1291</v>
      </c>
      <c r="B1631" s="215">
        <v>1300000</v>
      </c>
      <c r="C1631" s="215">
        <f>C1632+C1633</f>
        <v>4500000</v>
      </c>
      <c r="D1631" s="215">
        <f t="shared" ref="D1631:E1631" si="667">D1632+D1633</f>
        <v>4950000</v>
      </c>
      <c r="E1631" s="215">
        <f t="shared" si="667"/>
        <v>5445000</v>
      </c>
    </row>
    <row r="1632" spans="1:5" ht="22.05" hidden="1" customHeight="1" outlineLevel="1">
      <c r="A1632" s="212" t="s">
        <v>1335</v>
      </c>
      <c r="B1632" s="217">
        <v>1300000</v>
      </c>
      <c r="C1632" s="217">
        <f>'Itemized Budget 2026-27'!E3717</f>
        <v>4500000</v>
      </c>
      <c r="D1632" s="217">
        <f t="shared" ref="D1632:E1632" si="668">C1632*1.1</f>
        <v>4950000</v>
      </c>
      <c r="E1632" s="217">
        <f t="shared" si="668"/>
        <v>5445000</v>
      </c>
    </row>
    <row r="1633" spans="1:5" ht="22.05" hidden="1" customHeight="1" outlineLevel="1">
      <c r="A1633" s="212" t="s">
        <v>1293</v>
      </c>
      <c r="B1633" s="217"/>
      <c r="C1633" s="217"/>
      <c r="D1633" s="217">
        <f t="shared" ref="D1633:E1633" si="669">C1633*1.1</f>
        <v>0</v>
      </c>
      <c r="E1633" s="217">
        <f t="shared" si="669"/>
        <v>0</v>
      </c>
    </row>
    <row r="1634" spans="1:5" ht="22.05" hidden="1" customHeight="1" outlineLevel="1">
      <c r="A1634" s="214" t="s">
        <v>1333</v>
      </c>
      <c r="B1634" s="215">
        <v>10813447</v>
      </c>
      <c r="C1634" s="215">
        <f>C1631+C1627</f>
        <v>12722394</v>
      </c>
      <c r="D1634" s="215">
        <f>D1631+D1627</f>
        <v>13994633.4</v>
      </c>
      <c r="E1634" s="215">
        <f>E1631+E1627</f>
        <v>15394096.740000002</v>
      </c>
    </row>
    <row r="1635" spans="1:5" ht="22.05" hidden="1" customHeight="1" outlineLevel="1">
      <c r="A1635" s="235"/>
      <c r="B1635" s="208"/>
      <c r="C1635" s="208"/>
      <c r="D1635" s="208"/>
      <c r="E1635" s="208"/>
    </row>
    <row r="1636" spans="1:5" ht="22.05" hidden="1" customHeight="1" outlineLevel="1"/>
    <row r="1637" spans="1:5" ht="22.05" hidden="1" customHeight="1" outlineLevel="1">
      <c r="A1637" s="201" t="s">
        <v>1532</v>
      </c>
      <c r="B1637" s="208"/>
      <c r="C1637" s="208"/>
    </row>
    <row r="1638" spans="1:5" ht="22.05" hidden="1" customHeight="1" outlineLevel="1">
      <c r="A1638" s="201" t="s">
        <v>314</v>
      </c>
      <c r="B1638" s="208"/>
      <c r="C1638" s="208"/>
    </row>
    <row r="1639" spans="1:5" ht="22.05" hidden="1" customHeight="1" outlineLevel="1">
      <c r="A1639" s="201" t="s">
        <v>1005</v>
      </c>
      <c r="B1639" s="208"/>
      <c r="C1639" s="208"/>
    </row>
    <row r="1640" spans="1:5" ht="22.05" hidden="1" customHeight="1" outlineLevel="1">
      <c r="A1640" s="210" t="s">
        <v>1287</v>
      </c>
      <c r="B1640" s="822" t="s">
        <v>1257</v>
      </c>
      <c r="C1640" s="822" t="s">
        <v>1258</v>
      </c>
      <c r="D1640" s="824" t="s">
        <v>1259</v>
      </c>
      <c r="E1640" s="825"/>
    </row>
    <row r="1641" spans="1:5" ht="22.05" hidden="1" customHeight="1" outlineLevel="1">
      <c r="A1641" s="211"/>
      <c r="B1641" s="823"/>
      <c r="C1641" s="823"/>
      <c r="D1641" s="788" t="s">
        <v>1260</v>
      </c>
      <c r="E1641" s="788" t="s">
        <v>1261</v>
      </c>
    </row>
    <row r="1642" spans="1:5" ht="22.05" hidden="1" customHeight="1" outlineLevel="1">
      <c r="A1642" s="214" t="s">
        <v>1298</v>
      </c>
      <c r="B1642" s="215">
        <v>63662992</v>
      </c>
      <c r="C1642" s="215">
        <f>C1643+C1644+C1645</f>
        <v>66372992</v>
      </c>
      <c r="D1642" s="215">
        <f>D1643+D1644+D1645</f>
        <v>73010291.200000003</v>
      </c>
      <c r="E1642" s="215">
        <f>E1643+E1644+E1645</f>
        <v>80311320.320000008</v>
      </c>
    </row>
    <row r="1643" spans="1:5" ht="22.05" hidden="1" customHeight="1" outlineLevel="1">
      <c r="A1643" s="212" t="s">
        <v>1288</v>
      </c>
      <c r="B1643" s="217">
        <v>55151787</v>
      </c>
      <c r="C1643" s="217">
        <f>'Itemized Budget 2026-27'!E3727</f>
        <v>55151787</v>
      </c>
      <c r="D1643" s="217">
        <f t="shared" ref="D1643:E1643" si="670">C1643*1.1</f>
        <v>60666965.700000003</v>
      </c>
      <c r="E1643" s="217">
        <f t="shared" si="670"/>
        <v>66733662.270000011</v>
      </c>
    </row>
    <row r="1644" spans="1:5" ht="22.05" hidden="1" customHeight="1" outlineLevel="1">
      <c r="A1644" s="212" t="s">
        <v>1289</v>
      </c>
      <c r="B1644" s="217">
        <v>7237403</v>
      </c>
      <c r="C1644" s="217">
        <f>'Itemized Budget 2026-27'!E3768-'Itemized Budget 2026-27'!E3765-'Itemized Budget 2026-27'!E3727</f>
        <v>8947403</v>
      </c>
      <c r="D1644" s="217">
        <f t="shared" ref="D1644:E1644" si="671">C1644*1.1</f>
        <v>9842143.3000000007</v>
      </c>
      <c r="E1644" s="217">
        <f t="shared" si="671"/>
        <v>10826357.630000001</v>
      </c>
    </row>
    <row r="1645" spans="1:5" ht="22.05" hidden="1" customHeight="1" outlineLevel="1">
      <c r="A1645" s="212" t="s">
        <v>1290</v>
      </c>
      <c r="B1645" s="217">
        <v>1273802</v>
      </c>
      <c r="C1645" s="217">
        <f>'Itemized Budget 2026-27'!E3765</f>
        <v>2273802</v>
      </c>
      <c r="D1645" s="217">
        <f t="shared" ref="D1645:E1645" si="672">C1645*1.1</f>
        <v>2501182.2000000002</v>
      </c>
      <c r="E1645" s="217">
        <f t="shared" si="672"/>
        <v>2751300.4200000004</v>
      </c>
    </row>
    <row r="1646" spans="1:5" ht="22.05" hidden="1" customHeight="1" outlineLevel="1">
      <c r="A1646" s="214" t="s">
        <v>1291</v>
      </c>
      <c r="B1646" s="215">
        <v>0</v>
      </c>
      <c r="C1646" s="215">
        <f>C1647+C1648</f>
        <v>0</v>
      </c>
      <c r="D1646" s="215">
        <f t="shared" ref="D1646:E1646" si="673">D1647+D1648</f>
        <v>0</v>
      </c>
      <c r="E1646" s="215">
        <f t="shared" si="673"/>
        <v>0</v>
      </c>
    </row>
    <row r="1647" spans="1:5" ht="22.05" hidden="1" customHeight="1" outlineLevel="1">
      <c r="A1647" s="212" t="s">
        <v>1335</v>
      </c>
      <c r="B1647" s="217"/>
      <c r="C1647" s="217"/>
      <c r="D1647" s="217">
        <f t="shared" ref="D1647:E1647" si="674">C1647*1.1</f>
        <v>0</v>
      </c>
      <c r="E1647" s="217">
        <f t="shared" si="674"/>
        <v>0</v>
      </c>
    </row>
    <row r="1648" spans="1:5" ht="22.05" hidden="1" customHeight="1" outlineLevel="1">
      <c r="A1648" s="212" t="s">
        <v>1293</v>
      </c>
      <c r="B1648" s="217"/>
      <c r="C1648" s="217"/>
      <c r="D1648" s="217">
        <f t="shared" ref="D1648:E1648" si="675">C1648*1.1</f>
        <v>0</v>
      </c>
      <c r="E1648" s="217">
        <f t="shared" si="675"/>
        <v>0</v>
      </c>
    </row>
    <row r="1649" spans="1:5" ht="22.05" hidden="1" customHeight="1" outlineLevel="1">
      <c r="A1649" s="214" t="s">
        <v>1333</v>
      </c>
      <c r="B1649" s="215">
        <v>63662992</v>
      </c>
      <c r="C1649" s="215">
        <f>C1642+C1646</f>
        <v>66372992</v>
      </c>
      <c r="D1649" s="215">
        <f>D1642+D1646</f>
        <v>73010291.200000003</v>
      </c>
      <c r="E1649" s="215">
        <f>E1642+E1646</f>
        <v>80311320.320000008</v>
      </c>
    </row>
    <row r="1650" spans="1:5" ht="22.05" hidden="1" customHeight="1" outlineLevel="1">
      <c r="A1650" s="235"/>
      <c r="B1650" s="208"/>
      <c r="C1650" s="208"/>
      <c r="D1650" s="208"/>
      <c r="E1650" s="208"/>
    </row>
    <row r="1651" spans="1:5" ht="22.05" hidden="1" customHeight="1" outlineLevel="1">
      <c r="A1651" s="235"/>
      <c r="B1651" s="208"/>
      <c r="C1651" s="208"/>
      <c r="D1651" s="208"/>
      <c r="E1651" s="208"/>
    </row>
    <row r="1652" spans="1:5" ht="22.05" hidden="1" customHeight="1" outlineLevel="1">
      <c r="A1652" s="201" t="s">
        <v>1527</v>
      </c>
    </row>
    <row r="1653" spans="1:5" ht="22.05" hidden="1" customHeight="1" outlineLevel="1">
      <c r="A1653" s="201" t="s">
        <v>1525</v>
      </c>
    </row>
    <row r="1654" spans="1:5" ht="22.05" hidden="1" customHeight="1" outlineLevel="1">
      <c r="A1654" s="210" t="s">
        <v>1287</v>
      </c>
      <c r="B1654" s="822" t="s">
        <v>1257</v>
      </c>
      <c r="C1654" s="822" t="s">
        <v>1258</v>
      </c>
      <c r="D1654" s="824" t="s">
        <v>1259</v>
      </c>
      <c r="E1654" s="825"/>
    </row>
    <row r="1655" spans="1:5" ht="22.05" hidden="1" customHeight="1" outlineLevel="1">
      <c r="A1655" s="211"/>
      <c r="B1655" s="823"/>
      <c r="C1655" s="823"/>
      <c r="D1655" s="788" t="s">
        <v>1260</v>
      </c>
      <c r="E1655" s="788" t="s">
        <v>1261</v>
      </c>
    </row>
    <row r="1656" spans="1:5" ht="22.05" hidden="1" customHeight="1" outlineLevel="1">
      <c r="A1656" s="214" t="s">
        <v>1298</v>
      </c>
      <c r="B1656" s="215">
        <v>7459372</v>
      </c>
      <c r="C1656" s="215">
        <f>C1658+C1657+C1659</f>
        <v>10102372</v>
      </c>
      <c r="D1656" s="215">
        <f>D1657+D1658+D1659</f>
        <v>11112609.200000001</v>
      </c>
      <c r="E1656" s="215">
        <f>E1657+E1658+E1659</f>
        <v>12223870.120000001</v>
      </c>
    </row>
    <row r="1657" spans="1:5" ht="22.05" hidden="1" customHeight="1" outlineLevel="1">
      <c r="A1657" s="212" t="s">
        <v>1288</v>
      </c>
      <c r="B1657" s="217"/>
      <c r="C1657" s="233"/>
      <c r="D1657" s="217">
        <f t="shared" ref="D1657:E1657" si="676">C1657*1.1</f>
        <v>0</v>
      </c>
      <c r="E1657" s="217">
        <f t="shared" si="676"/>
        <v>0</v>
      </c>
    </row>
    <row r="1658" spans="1:5" ht="22.05" hidden="1" customHeight="1" outlineLevel="1">
      <c r="A1658" s="212" t="s">
        <v>1289</v>
      </c>
      <c r="B1658" s="217">
        <v>5433694</v>
      </c>
      <c r="C1658" s="217">
        <f>'Itemized Budget 2026-27'!E3809-'Itemized Budget 2026-27'!E3807</f>
        <v>6876694</v>
      </c>
      <c r="D1658" s="217">
        <f t="shared" ref="D1658:E1658" si="677">C1658*1.1</f>
        <v>7564363.4000000004</v>
      </c>
      <c r="E1658" s="217">
        <f t="shared" si="677"/>
        <v>8320799.7400000012</v>
      </c>
    </row>
    <row r="1659" spans="1:5" ht="22.05" hidden="1" customHeight="1" outlineLevel="1">
      <c r="A1659" s="212" t="s">
        <v>1290</v>
      </c>
      <c r="B1659" s="217">
        <v>2025678</v>
      </c>
      <c r="C1659" s="217">
        <f>'Itemized Budget 2026-27'!E3807</f>
        <v>3225678</v>
      </c>
      <c r="D1659" s="217">
        <f t="shared" ref="D1659:E1659" si="678">C1659*1.1</f>
        <v>3548245.8000000003</v>
      </c>
      <c r="E1659" s="217">
        <f t="shared" si="678"/>
        <v>3903070.3800000008</v>
      </c>
    </row>
    <row r="1660" spans="1:5" ht="22.05" hidden="1" customHeight="1" outlineLevel="1">
      <c r="A1660" s="214" t="s">
        <v>1291</v>
      </c>
      <c r="B1660" s="215">
        <v>21034135</v>
      </c>
      <c r="C1660" s="215">
        <f>C1661+C1662</f>
        <v>17002186</v>
      </c>
      <c r="D1660" s="215">
        <f t="shared" ref="D1660:E1660" si="679">D1661+D1662</f>
        <v>18702404.600000001</v>
      </c>
      <c r="E1660" s="215">
        <f t="shared" si="679"/>
        <v>20572645.060000002</v>
      </c>
    </row>
    <row r="1661" spans="1:5" ht="22.05" hidden="1" customHeight="1" outlineLevel="1">
      <c r="A1661" s="212" t="s">
        <v>1335</v>
      </c>
      <c r="B1661" s="217">
        <v>21034135</v>
      </c>
      <c r="C1661" s="217">
        <f>'Itemized Budget 2026-27'!E3823</f>
        <v>17002186</v>
      </c>
      <c r="D1661" s="217">
        <f t="shared" ref="D1661:E1661" si="680">C1661*1.1</f>
        <v>18702404.600000001</v>
      </c>
      <c r="E1661" s="217">
        <f t="shared" si="680"/>
        <v>20572645.060000002</v>
      </c>
    </row>
    <row r="1662" spans="1:5" ht="22.05" hidden="1" customHeight="1" outlineLevel="1">
      <c r="A1662" s="212" t="s">
        <v>1293</v>
      </c>
      <c r="B1662" s="217"/>
      <c r="C1662" s="217"/>
      <c r="D1662" s="217">
        <f t="shared" ref="D1662:E1662" si="681">C1662*1.1</f>
        <v>0</v>
      </c>
      <c r="E1662" s="217">
        <f t="shared" si="681"/>
        <v>0</v>
      </c>
    </row>
    <row r="1663" spans="1:5" ht="22.05" hidden="1" customHeight="1" outlineLevel="1">
      <c r="A1663" s="214" t="s">
        <v>1333</v>
      </c>
      <c r="B1663" s="215">
        <v>28493507</v>
      </c>
      <c r="C1663" s="215">
        <f>C1660+C1656</f>
        <v>27104558</v>
      </c>
      <c r="D1663" s="215">
        <f>D1660+D1656</f>
        <v>29815013.800000004</v>
      </c>
      <c r="E1663" s="215">
        <f>E1660+E1656</f>
        <v>32796515.180000003</v>
      </c>
    </row>
    <row r="1664" spans="1:5" ht="22.05" hidden="1" customHeight="1" outlineLevel="1"/>
    <row r="1665" spans="1:5" ht="22.05" hidden="1" customHeight="1" outlineLevel="1">
      <c r="A1665" s="201" t="s">
        <v>1526</v>
      </c>
    </row>
    <row r="1666" spans="1:5" ht="22.05" hidden="1" customHeight="1" outlineLevel="1">
      <c r="A1666" s="210" t="s">
        <v>1287</v>
      </c>
      <c r="B1666" s="822" t="s">
        <v>1257</v>
      </c>
      <c r="C1666" s="822" t="s">
        <v>1258</v>
      </c>
      <c r="D1666" s="824" t="s">
        <v>1259</v>
      </c>
      <c r="E1666" s="825"/>
    </row>
    <row r="1667" spans="1:5" ht="22.05" hidden="1" customHeight="1" outlineLevel="1">
      <c r="A1667" s="211"/>
      <c r="B1667" s="823"/>
      <c r="C1667" s="823"/>
      <c r="D1667" s="788" t="s">
        <v>1260</v>
      </c>
      <c r="E1667" s="788" t="s">
        <v>1261</v>
      </c>
    </row>
    <row r="1668" spans="1:5" ht="22.05" hidden="1" customHeight="1" outlineLevel="1">
      <c r="A1668" s="214" t="s">
        <v>1298</v>
      </c>
      <c r="B1668" s="215">
        <v>7431078</v>
      </c>
      <c r="C1668" s="215">
        <f>C1669+C1670+C1671</f>
        <v>8412213</v>
      </c>
      <c r="D1668" s="215">
        <f>D1669+D1670+D1671</f>
        <v>9253434.3000000007</v>
      </c>
      <c r="E1668" s="215">
        <f>E1669+E1670+E1671</f>
        <v>10178777.730000002</v>
      </c>
    </row>
    <row r="1669" spans="1:5" ht="22.05" hidden="1" customHeight="1" outlineLevel="1">
      <c r="A1669" s="212" t="s">
        <v>1288</v>
      </c>
      <c r="B1669" s="217"/>
      <c r="C1669" s="217"/>
      <c r="D1669" s="217">
        <f t="shared" ref="D1669:E1669" si="682">C1669*1.1</f>
        <v>0</v>
      </c>
      <c r="E1669" s="217">
        <f t="shared" si="682"/>
        <v>0</v>
      </c>
    </row>
    <row r="1670" spans="1:5" ht="22.05" hidden="1" customHeight="1" outlineLevel="1">
      <c r="A1670" s="212" t="s">
        <v>1289</v>
      </c>
      <c r="B1670" s="217">
        <v>4044188</v>
      </c>
      <c r="C1670" s="217">
        <f>'Itemized Budget 2026-27'!E3856-'Itemized Budget 2026-27'!E3854</f>
        <v>4625323</v>
      </c>
      <c r="D1670" s="217">
        <f t="shared" ref="D1670:E1670" si="683">C1670*1.1</f>
        <v>5087855.3000000007</v>
      </c>
      <c r="E1670" s="217">
        <f t="shared" si="683"/>
        <v>5596640.830000001</v>
      </c>
    </row>
    <row r="1671" spans="1:5" ht="22.05" hidden="1" customHeight="1" outlineLevel="1">
      <c r="A1671" s="212" t="s">
        <v>1290</v>
      </c>
      <c r="B1671" s="217">
        <v>3386890</v>
      </c>
      <c r="C1671" s="217">
        <f>'Itemized Budget 2026-27'!E3854</f>
        <v>3786890</v>
      </c>
      <c r="D1671" s="217">
        <f t="shared" ref="D1671:E1671" si="684">C1671*1.1</f>
        <v>4165579.0000000005</v>
      </c>
      <c r="E1671" s="217">
        <f t="shared" si="684"/>
        <v>4582136.9000000013</v>
      </c>
    </row>
    <row r="1672" spans="1:5" ht="22.05" hidden="1" customHeight="1" outlineLevel="1">
      <c r="A1672" s="214" t="s">
        <v>1291</v>
      </c>
      <c r="B1672" s="215">
        <v>5800000</v>
      </c>
      <c r="C1672" s="215">
        <f>C1673+C1674</f>
        <v>8000000</v>
      </c>
      <c r="D1672" s="215">
        <f t="shared" ref="D1672:E1672" si="685">D1673+D1674</f>
        <v>8800000</v>
      </c>
      <c r="E1672" s="215">
        <f t="shared" si="685"/>
        <v>9680000</v>
      </c>
    </row>
    <row r="1673" spans="1:5" ht="22.05" hidden="1" customHeight="1" outlineLevel="1">
      <c r="A1673" s="212" t="s">
        <v>1335</v>
      </c>
      <c r="B1673" s="217">
        <v>5800000</v>
      </c>
      <c r="C1673" s="217">
        <f>'Itemized Budget 2026-27'!E3863</f>
        <v>8000000</v>
      </c>
      <c r="D1673" s="217">
        <f t="shared" ref="D1673:E1673" si="686">C1673*1.1</f>
        <v>8800000</v>
      </c>
      <c r="E1673" s="217">
        <f t="shared" si="686"/>
        <v>9680000</v>
      </c>
    </row>
    <row r="1674" spans="1:5" ht="22.05" hidden="1" customHeight="1" outlineLevel="1">
      <c r="A1674" s="212" t="s">
        <v>1293</v>
      </c>
      <c r="B1674" s="217"/>
      <c r="C1674" s="217"/>
      <c r="D1674" s="217">
        <f t="shared" ref="D1674:E1674" si="687">C1674*1.1</f>
        <v>0</v>
      </c>
      <c r="E1674" s="217">
        <f t="shared" si="687"/>
        <v>0</v>
      </c>
    </row>
    <row r="1675" spans="1:5" ht="22.05" hidden="1" customHeight="1" outlineLevel="1">
      <c r="A1675" s="214" t="s">
        <v>1333</v>
      </c>
      <c r="B1675" s="215">
        <v>13231078</v>
      </c>
      <c r="C1675" s="215">
        <f>C1672+C1668</f>
        <v>16412213</v>
      </c>
      <c r="D1675" s="215">
        <f>D1672+D1668</f>
        <v>18053434.300000001</v>
      </c>
      <c r="E1675" s="215">
        <f>E1672+E1668</f>
        <v>19858777.730000004</v>
      </c>
    </row>
    <row r="1676" spans="1:5" ht="22.05" customHeight="1" collapsed="1"/>
    <row r="1677" spans="1:5" ht="22.05" customHeight="1">
      <c r="A1677" s="201" t="s">
        <v>1031</v>
      </c>
    </row>
    <row r="1678" spans="1:5" ht="22.05" hidden="1" customHeight="1" outlineLevel="1">
      <c r="A1678" s="201" t="s">
        <v>1255</v>
      </c>
      <c r="B1678" s="209"/>
      <c r="C1678" s="209"/>
      <c r="D1678" s="209"/>
      <c r="E1678" s="209"/>
    </row>
    <row r="1679" spans="1:5" ht="22.05" hidden="1" customHeight="1" outlineLevel="1">
      <c r="A1679" s="210" t="s">
        <v>1256</v>
      </c>
      <c r="B1679" s="822" t="s">
        <v>1257</v>
      </c>
      <c r="C1679" s="822" t="s">
        <v>1258</v>
      </c>
      <c r="D1679" s="824" t="s">
        <v>1259</v>
      </c>
      <c r="E1679" s="825"/>
    </row>
    <row r="1680" spans="1:5" ht="22.05" hidden="1" customHeight="1" outlineLevel="1">
      <c r="A1680" s="211"/>
      <c r="B1680" s="823"/>
      <c r="C1680" s="823"/>
      <c r="D1680" s="788" t="s">
        <v>1260</v>
      </c>
      <c r="E1680" s="788" t="s">
        <v>1261</v>
      </c>
    </row>
    <row r="1681" spans="1:5" ht="22.05" hidden="1" customHeight="1" outlineLevel="1">
      <c r="A1681" s="205" t="s">
        <v>1359</v>
      </c>
      <c r="B1681" s="260">
        <v>79695284</v>
      </c>
      <c r="C1681" s="260">
        <f>C1719</f>
        <v>84219093.519999996</v>
      </c>
      <c r="D1681" s="260">
        <f>D1719</f>
        <v>92641002.872000009</v>
      </c>
      <c r="E1681" s="260">
        <f>E1719</f>
        <v>101905103.15920001</v>
      </c>
    </row>
    <row r="1682" spans="1:5" ht="22.05" hidden="1" customHeight="1" outlineLevel="1">
      <c r="A1682" s="201" t="s">
        <v>1533</v>
      </c>
      <c r="B1682" s="261">
        <v>79695284</v>
      </c>
      <c r="C1682" s="261">
        <f>C1681</f>
        <v>84219093.519999996</v>
      </c>
      <c r="D1682" s="261">
        <f>D1681</f>
        <v>92641002.872000009</v>
      </c>
      <c r="E1682" s="261">
        <f>E1681</f>
        <v>101905103.15920001</v>
      </c>
    </row>
    <row r="1683" spans="1:5" ht="22.05" hidden="1" customHeight="1" outlineLevel="1">
      <c r="A1683" s="212" t="s">
        <v>1534</v>
      </c>
      <c r="B1683" s="217">
        <v>2990000</v>
      </c>
      <c r="C1683" s="217">
        <f>C1733</f>
        <v>3273333.33</v>
      </c>
      <c r="D1683" s="217">
        <f>D1733</f>
        <v>3600666.6630000002</v>
      </c>
      <c r="E1683" s="217">
        <f>E1733</f>
        <v>3960733.3293000003</v>
      </c>
    </row>
    <row r="1684" spans="1:5" ht="22.05" hidden="1" customHeight="1" outlineLevel="1">
      <c r="A1684" s="214" t="s">
        <v>1535</v>
      </c>
      <c r="B1684" s="215">
        <v>2990000</v>
      </c>
      <c r="C1684" s="215">
        <f>SUM(C1683)</f>
        <v>3273333.33</v>
      </c>
      <c r="D1684" s="215">
        <f>SUM(D1683)</f>
        <v>3600666.6630000002</v>
      </c>
      <c r="E1684" s="215">
        <f>SUM(E1683)</f>
        <v>3960733.3293000003</v>
      </c>
    </row>
    <row r="1685" spans="1:5" ht="22.05" hidden="1" customHeight="1" outlineLevel="1">
      <c r="A1685" s="212" t="s">
        <v>1536</v>
      </c>
      <c r="B1685" s="213">
        <v>37422600</v>
      </c>
      <c r="C1685" s="213">
        <f>C1747</f>
        <v>27572600</v>
      </c>
      <c r="D1685" s="213">
        <f>D1747</f>
        <v>30329860</v>
      </c>
      <c r="E1685" s="213">
        <f>E1747</f>
        <v>33362846.000000004</v>
      </c>
    </row>
    <row r="1686" spans="1:5" ht="22.05" hidden="1" customHeight="1" outlineLevel="1">
      <c r="A1686" s="212" t="s">
        <v>1537</v>
      </c>
      <c r="B1686" s="213">
        <v>8117527</v>
      </c>
      <c r="C1686" s="213">
        <f>C1759</f>
        <v>8965400.3300000001</v>
      </c>
      <c r="D1686" s="213">
        <f>D1759</f>
        <v>9861940.3630000018</v>
      </c>
      <c r="E1686" s="213">
        <f>E1759</f>
        <v>10848134.399300002</v>
      </c>
    </row>
    <row r="1687" spans="1:5" ht="22.05" hidden="1" customHeight="1" outlineLevel="1">
      <c r="A1687" s="212" t="s">
        <v>1538</v>
      </c>
      <c r="B1687" s="213">
        <v>32972127</v>
      </c>
      <c r="C1687" s="213">
        <f>C1772</f>
        <v>23528450.48</v>
      </c>
      <c r="D1687" s="213">
        <f>D1772</f>
        <v>25881295.528000001</v>
      </c>
      <c r="E1687" s="213">
        <f>E1772</f>
        <v>28469425.080800004</v>
      </c>
    </row>
    <row r="1688" spans="1:5" ht="22.05" hidden="1" customHeight="1" outlineLevel="1">
      <c r="A1688" s="224" t="s">
        <v>1539</v>
      </c>
      <c r="B1688" s="213">
        <v>443294511.65135598</v>
      </c>
      <c r="C1688" s="213">
        <f>C1785</f>
        <v>107252814.06999999</v>
      </c>
      <c r="D1688" s="213">
        <f>D1785</f>
        <v>117978095.477</v>
      </c>
      <c r="E1688" s="213">
        <f>E1785</f>
        <v>129775905.02470002</v>
      </c>
    </row>
    <row r="1689" spans="1:5" ht="22.05" hidden="1" customHeight="1" outlineLevel="1">
      <c r="A1689" s="214" t="s">
        <v>1540</v>
      </c>
      <c r="B1689" s="215">
        <v>521806765.65135598</v>
      </c>
      <c r="C1689" s="215">
        <f>SUM(C1685:C1688)</f>
        <v>167319264.88</v>
      </c>
      <c r="D1689" s="215">
        <f>SUM(D1685:D1688)</f>
        <v>184051191.368</v>
      </c>
      <c r="E1689" s="215">
        <f>SUM(E1685:E1688)</f>
        <v>202456310.50480002</v>
      </c>
    </row>
    <row r="1690" spans="1:5" ht="22.05" hidden="1" customHeight="1" outlineLevel="1">
      <c r="A1690" s="218" t="s">
        <v>1285</v>
      </c>
      <c r="B1690" s="215">
        <v>604492049.65135598</v>
      </c>
      <c r="C1690" s="215">
        <f>C1689+C1682+C1684</f>
        <v>254811691.72999999</v>
      </c>
      <c r="D1690" s="215">
        <f>D1689+D1682+D1684</f>
        <v>280292860.903</v>
      </c>
      <c r="E1690" s="215">
        <f>E1689+E1682+E1684</f>
        <v>308322146.99330002</v>
      </c>
    </row>
    <row r="1691" spans="1:5" ht="22.05" hidden="1" customHeight="1" outlineLevel="1">
      <c r="A1691" s="201"/>
      <c r="B1691" s="208"/>
      <c r="C1691" s="208"/>
      <c r="D1691" s="208"/>
      <c r="E1691" s="208"/>
    </row>
    <row r="1692" spans="1:5" ht="22.05" hidden="1" customHeight="1" outlineLevel="1">
      <c r="A1692" s="201"/>
      <c r="B1692" s="208"/>
      <c r="C1692" s="208"/>
      <c r="D1692" s="208"/>
      <c r="E1692" s="208"/>
    </row>
    <row r="1693" spans="1:5" ht="22.05" hidden="1" customHeight="1" outlineLevel="1">
      <c r="A1693" s="201" t="s">
        <v>1323</v>
      </c>
      <c r="B1693" s="208"/>
      <c r="C1693" s="208"/>
      <c r="D1693" s="208"/>
      <c r="E1693" s="208"/>
    </row>
    <row r="1694" spans="1:5" ht="22.05" hidden="1" customHeight="1" outlineLevel="1">
      <c r="A1694" s="210" t="s">
        <v>1287</v>
      </c>
      <c r="B1694" s="822" t="s">
        <v>1257</v>
      </c>
      <c r="C1694" s="822" t="s">
        <v>1258</v>
      </c>
      <c r="D1694" s="824" t="s">
        <v>1259</v>
      </c>
      <c r="E1694" s="825"/>
    </row>
    <row r="1695" spans="1:5" ht="22.05" hidden="1" customHeight="1" outlineLevel="1">
      <c r="A1695" s="211"/>
      <c r="B1695" s="823"/>
      <c r="C1695" s="823"/>
      <c r="D1695" s="788" t="s">
        <v>1260</v>
      </c>
      <c r="E1695" s="788" t="s">
        <v>1261</v>
      </c>
    </row>
    <row r="1696" spans="1:5" ht="22.05" hidden="1" customHeight="1" outlineLevel="1">
      <c r="A1696" s="263" t="s">
        <v>1298</v>
      </c>
      <c r="B1696" s="215">
        <v>275675288.52535599</v>
      </c>
      <c r="C1696" s="215">
        <f>SUM(C1697:C1699)</f>
        <v>123455277.66</v>
      </c>
      <c r="D1696" s="215">
        <f>SUM(D1697:D1699)</f>
        <v>135800805.426</v>
      </c>
      <c r="E1696" s="215">
        <f>SUM(E1697:E1699)</f>
        <v>149380885.9686</v>
      </c>
    </row>
    <row r="1697" spans="1:6" ht="22.05" hidden="1" customHeight="1" outlineLevel="1">
      <c r="A1697" s="264" t="s">
        <v>1288</v>
      </c>
      <c r="B1697" s="217">
        <v>66945284</v>
      </c>
      <c r="C1697" s="217">
        <f>C1741+C1753+C1766+C1713+C1727+C1779</f>
        <v>66945284</v>
      </c>
      <c r="D1697" s="217">
        <f>D1741+D1753+D1766+D1713+D1727+D1779</f>
        <v>73639812.400000006</v>
      </c>
      <c r="E1697" s="217">
        <f>E1741+E1753+E1766+E1713+E1727+E1779</f>
        <v>81003793.640000015</v>
      </c>
    </row>
    <row r="1698" spans="1:6" ht="22.05" hidden="1" customHeight="1" outlineLevel="1">
      <c r="A1698" s="264" t="s">
        <v>1289</v>
      </c>
      <c r="B1698" s="217">
        <v>204317877.52535599</v>
      </c>
      <c r="C1698" s="217">
        <f t="shared" ref="C1698:E1702" si="688">C1742+C1754+C1767+C1714+C1728+C1780</f>
        <v>52097866.659999996</v>
      </c>
      <c r="D1698" s="217">
        <f t="shared" si="688"/>
        <v>57307653.325999998</v>
      </c>
      <c r="E1698" s="217">
        <f t="shared" si="688"/>
        <v>63038418.658600003</v>
      </c>
    </row>
    <row r="1699" spans="1:6" ht="22.05" hidden="1" customHeight="1" outlineLevel="1">
      <c r="A1699" s="264" t="s">
        <v>1290</v>
      </c>
      <c r="B1699" s="217">
        <v>4412127</v>
      </c>
      <c r="C1699" s="217">
        <f t="shared" si="688"/>
        <v>4412127</v>
      </c>
      <c r="D1699" s="217">
        <f t="shared" si="688"/>
        <v>4853339.7</v>
      </c>
      <c r="E1699" s="217">
        <f t="shared" si="688"/>
        <v>5338673.6700000009</v>
      </c>
    </row>
    <row r="1700" spans="1:6" ht="22.05" hidden="1" customHeight="1" outlineLevel="1">
      <c r="A1700" s="263" t="s">
        <v>1291</v>
      </c>
      <c r="B1700" s="215">
        <v>328816761.12599999</v>
      </c>
      <c r="C1700" s="215">
        <f>C1701+C1702</f>
        <v>131356414.06999999</v>
      </c>
      <c r="D1700" s="215">
        <f>D1701+D1702</f>
        <v>144492055.477</v>
      </c>
      <c r="E1700" s="215">
        <f>E1701+E1702</f>
        <v>158941261.02470002</v>
      </c>
    </row>
    <row r="1701" spans="1:6" ht="22.05" hidden="1" customHeight="1" outlineLevel="1">
      <c r="A1701" s="264" t="s">
        <v>1292</v>
      </c>
      <c r="B1701" s="217">
        <v>328816761.12599999</v>
      </c>
      <c r="C1701" s="217">
        <f t="shared" si="688"/>
        <v>131356414.06999999</v>
      </c>
      <c r="D1701" s="217">
        <f>D1745+D1757+D1770+D1717+D1731+D1783</f>
        <v>144492055.477</v>
      </c>
      <c r="E1701" s="217">
        <f>E1745+E1757+E1770+E1717+E1731+E1783</f>
        <v>158941261.02470002</v>
      </c>
    </row>
    <row r="1702" spans="1:6" ht="22.05" hidden="1" customHeight="1" outlineLevel="1">
      <c r="A1702" s="264" t="s">
        <v>1293</v>
      </c>
      <c r="B1702" s="217">
        <v>0</v>
      </c>
      <c r="C1702" s="217">
        <f t="shared" si="688"/>
        <v>0</v>
      </c>
      <c r="D1702" s="217">
        <f>D1746+D1758+D1771+D1718+D1732+D1784</f>
        <v>0</v>
      </c>
      <c r="E1702" s="217">
        <f>E1746+E1758+E1771+E1718+E1732+E1784</f>
        <v>0</v>
      </c>
    </row>
    <row r="1703" spans="1:6" ht="22.05" hidden="1" customHeight="1" outlineLevel="1">
      <c r="A1703" s="263" t="s">
        <v>1294</v>
      </c>
      <c r="B1703" s="215">
        <v>604492049.65135598</v>
      </c>
      <c r="C1703" s="215">
        <f>C1700+C1696</f>
        <v>254811691.72999999</v>
      </c>
      <c r="D1703" s="215">
        <f>D1700+D1696</f>
        <v>280292860.903</v>
      </c>
      <c r="E1703" s="215">
        <f>E1700+E1696</f>
        <v>308322146.99330002</v>
      </c>
      <c r="F1703" s="246"/>
    </row>
    <row r="1704" spans="1:6" ht="22.05" hidden="1" customHeight="1" outlineLevel="1">
      <c r="A1704" s="265"/>
      <c r="B1704" s="208"/>
      <c r="C1704" s="208"/>
      <c r="D1704" s="208"/>
      <c r="E1704" s="208"/>
      <c r="F1704" s="246"/>
    </row>
    <row r="1705" spans="1:6" ht="22.05" hidden="1" customHeight="1" outlineLevel="1">
      <c r="A1705" s="265"/>
      <c r="B1705" s="208"/>
      <c r="C1705" s="208"/>
      <c r="D1705" s="208"/>
      <c r="E1705" s="208"/>
      <c r="F1705" s="246"/>
    </row>
    <row r="1706" spans="1:6" ht="22.05" hidden="1" customHeight="1" outlineLevel="1">
      <c r="A1706" s="201" t="s">
        <v>1295</v>
      </c>
      <c r="B1706" s="208"/>
      <c r="C1706" s="208"/>
      <c r="D1706" s="208"/>
      <c r="E1706" s="208"/>
      <c r="F1706" s="246"/>
    </row>
    <row r="1707" spans="1:6" ht="22.05" hidden="1" customHeight="1" outlineLevel="1">
      <c r="A1707" s="201"/>
      <c r="B1707" s="208"/>
      <c r="C1707" s="208"/>
      <c r="D1707" s="208"/>
      <c r="E1707" s="208"/>
      <c r="F1707" s="246"/>
    </row>
    <row r="1708" spans="1:6" ht="22.05" hidden="1" customHeight="1" outlineLevel="1">
      <c r="A1708" s="201" t="s">
        <v>1367</v>
      </c>
      <c r="B1708" s="208"/>
      <c r="C1708" s="208"/>
      <c r="D1708" s="208"/>
      <c r="E1708" s="208"/>
      <c r="F1708" s="246"/>
    </row>
    <row r="1709" spans="1:6" ht="22.05" hidden="1" customHeight="1" outlineLevel="1">
      <c r="A1709" s="201" t="s">
        <v>1368</v>
      </c>
      <c r="B1709" s="208"/>
      <c r="C1709" s="208"/>
      <c r="D1709" s="208"/>
      <c r="E1709" s="208"/>
      <c r="F1709" s="246"/>
    </row>
    <row r="1710" spans="1:6" ht="22.05" hidden="1" customHeight="1" outlineLevel="1">
      <c r="A1710" s="210" t="s">
        <v>1287</v>
      </c>
      <c r="B1710" s="822" t="s">
        <v>1257</v>
      </c>
      <c r="C1710" s="822" t="s">
        <v>1258</v>
      </c>
      <c r="D1710" s="824" t="s">
        <v>1259</v>
      </c>
      <c r="E1710" s="825"/>
      <c r="F1710" s="246"/>
    </row>
    <row r="1711" spans="1:6" ht="22.05" hidden="1" customHeight="1" outlineLevel="1">
      <c r="A1711" s="211"/>
      <c r="B1711" s="823"/>
      <c r="C1711" s="823"/>
      <c r="D1711" s="788" t="s">
        <v>1260</v>
      </c>
      <c r="E1711" s="788" t="s">
        <v>1261</v>
      </c>
      <c r="F1711" s="246"/>
    </row>
    <row r="1712" spans="1:6" ht="22.05" hidden="1" customHeight="1" outlineLevel="1">
      <c r="A1712" s="218" t="s">
        <v>1298</v>
      </c>
      <c r="B1712" s="215">
        <v>79695284</v>
      </c>
      <c r="C1712" s="215">
        <f>SUM(C1713:C1715)</f>
        <v>84219093.519999996</v>
      </c>
      <c r="D1712" s="215">
        <f>SUM(D1713:D1715)</f>
        <v>92641002.872000009</v>
      </c>
      <c r="E1712" s="215">
        <f>SUM(E1713:E1715)</f>
        <v>101905103.15920001</v>
      </c>
      <c r="F1712" s="246"/>
    </row>
    <row r="1713" spans="1:6" ht="22.05" hidden="1" customHeight="1" outlineLevel="1">
      <c r="A1713" s="224" t="s">
        <v>1288</v>
      </c>
      <c r="B1713" s="217">
        <v>66945284</v>
      </c>
      <c r="C1713" s="217">
        <f>'Itemized Budget 2026-27'!E3876</f>
        <v>66945284</v>
      </c>
      <c r="D1713" s="217">
        <f>C1713*1.1</f>
        <v>73639812.400000006</v>
      </c>
      <c r="E1713" s="217">
        <f>D1713*1.1</f>
        <v>81003793.640000015</v>
      </c>
      <c r="F1713" s="246"/>
    </row>
    <row r="1714" spans="1:6" ht="22.05" hidden="1" customHeight="1" outlineLevel="1">
      <c r="A1714" s="224" t="s">
        <v>1289</v>
      </c>
      <c r="B1714" s="217">
        <v>12750000</v>
      </c>
      <c r="C1714" s="217">
        <f>'Itemized Budget 2026-27'!E3917-'Itemized Budget 2026-27'!E3876</f>
        <v>17273809.519999996</v>
      </c>
      <c r="D1714" s="217">
        <f t="shared" ref="D1714:E1714" si="689">C1714*1.1</f>
        <v>19001190.471999995</v>
      </c>
      <c r="E1714" s="217">
        <f t="shared" si="689"/>
        <v>20901309.519199997</v>
      </c>
      <c r="F1714" s="246"/>
    </row>
    <row r="1715" spans="1:6" ht="22.05" hidden="1" customHeight="1" outlineLevel="1">
      <c r="A1715" s="224" t="s">
        <v>1369</v>
      </c>
      <c r="B1715" s="217"/>
      <c r="C1715" s="217"/>
      <c r="D1715" s="217">
        <f t="shared" ref="D1715:E1715" si="690">C1715*1.1</f>
        <v>0</v>
      </c>
      <c r="E1715" s="217">
        <f t="shared" si="690"/>
        <v>0</v>
      </c>
      <c r="F1715" s="246"/>
    </row>
    <row r="1716" spans="1:6" ht="22.05" hidden="1" customHeight="1" outlineLevel="1">
      <c r="A1716" s="218" t="s">
        <v>1291</v>
      </c>
      <c r="B1716" s="215">
        <v>0</v>
      </c>
      <c r="C1716" s="215">
        <f>SUM(C1717:C1718)</f>
        <v>0</v>
      </c>
      <c r="D1716" s="215">
        <f t="shared" ref="D1716:E1716" si="691">SUM(D1717:D1718)</f>
        <v>0</v>
      </c>
      <c r="E1716" s="215">
        <f t="shared" si="691"/>
        <v>0</v>
      </c>
      <c r="F1716" s="246"/>
    </row>
    <row r="1717" spans="1:6" ht="22.05" hidden="1" customHeight="1" outlineLevel="1">
      <c r="A1717" s="224" t="s">
        <v>1299</v>
      </c>
      <c r="B1717" s="217"/>
      <c r="C1717" s="217"/>
      <c r="D1717" s="217">
        <f t="shared" ref="D1717:E1717" si="692">C1717*1.1</f>
        <v>0</v>
      </c>
      <c r="E1717" s="217">
        <f t="shared" si="692"/>
        <v>0</v>
      </c>
      <c r="F1717" s="246"/>
    </row>
    <row r="1718" spans="1:6" ht="22.05" hidden="1" customHeight="1" outlineLevel="1">
      <c r="A1718" s="224" t="s">
        <v>1300</v>
      </c>
      <c r="B1718" s="217"/>
      <c r="C1718" s="217"/>
      <c r="D1718" s="217">
        <f t="shared" ref="D1718:E1718" si="693">C1718*1.1</f>
        <v>0</v>
      </c>
      <c r="E1718" s="217">
        <f t="shared" si="693"/>
        <v>0</v>
      </c>
      <c r="F1718" s="246"/>
    </row>
    <row r="1719" spans="1:6" ht="22.05" hidden="1" customHeight="1" outlineLevel="1">
      <c r="A1719" s="218" t="s">
        <v>1301</v>
      </c>
      <c r="B1719" s="215">
        <v>79695284</v>
      </c>
      <c r="C1719" s="215">
        <f>SUM(C1716,C1712)</f>
        <v>84219093.519999996</v>
      </c>
      <c r="D1719" s="215">
        <f>SUM(D1716,D1712)</f>
        <v>92641002.872000009</v>
      </c>
      <c r="E1719" s="215">
        <f>SUM(E1716,E1712)</f>
        <v>101905103.15920001</v>
      </c>
      <c r="F1719" s="246"/>
    </row>
    <row r="1720" spans="1:6" ht="22.05" hidden="1" customHeight="1" outlineLevel="1">
      <c r="A1720" s="265"/>
      <c r="B1720" s="208"/>
      <c r="C1720" s="208"/>
      <c r="D1720" s="208"/>
      <c r="E1720" s="208"/>
      <c r="F1720" s="246"/>
    </row>
    <row r="1721" spans="1:6" ht="22.05" hidden="1" customHeight="1" outlineLevel="1">
      <c r="A1721" s="265"/>
      <c r="B1721" s="208"/>
      <c r="C1721" s="208"/>
      <c r="D1721" s="208"/>
      <c r="E1721" s="208"/>
      <c r="F1721" s="246"/>
    </row>
    <row r="1722" spans="1:6" ht="22.05" hidden="1" customHeight="1" outlineLevel="1">
      <c r="A1722" s="201" t="s">
        <v>1541</v>
      </c>
      <c r="B1722" s="208"/>
      <c r="C1722" s="208"/>
      <c r="D1722" s="208"/>
      <c r="E1722" s="208"/>
    </row>
    <row r="1723" spans="1:6" ht="22.05" hidden="1" customHeight="1" outlineLevel="1">
      <c r="A1723" s="201" t="s">
        <v>1542</v>
      </c>
      <c r="B1723" s="208"/>
      <c r="C1723" s="208"/>
      <c r="D1723" s="208"/>
      <c r="E1723" s="208"/>
    </row>
    <row r="1724" spans="1:6" ht="22.05" hidden="1" customHeight="1" outlineLevel="1">
      <c r="A1724" s="210" t="s">
        <v>1287</v>
      </c>
      <c r="B1724" s="822" t="s">
        <v>1257</v>
      </c>
      <c r="C1724" s="822" t="s">
        <v>1258</v>
      </c>
      <c r="D1724" s="824" t="s">
        <v>1259</v>
      </c>
      <c r="E1724" s="825"/>
    </row>
    <row r="1725" spans="1:6" ht="22.05" hidden="1" customHeight="1" outlineLevel="1">
      <c r="A1725" s="211"/>
      <c r="B1725" s="823"/>
      <c r="C1725" s="823"/>
      <c r="D1725" s="788" t="s">
        <v>1260</v>
      </c>
      <c r="E1725" s="788" t="s">
        <v>1261</v>
      </c>
    </row>
    <row r="1726" spans="1:6" ht="22.05" hidden="1" customHeight="1" outlineLevel="1">
      <c r="A1726" s="263" t="s">
        <v>1298</v>
      </c>
      <c r="B1726" s="215">
        <v>2990000</v>
      </c>
      <c r="C1726" s="215">
        <f>SUM(C1727:C1729)</f>
        <v>3273333.33</v>
      </c>
      <c r="D1726" s="215">
        <f>SUM(D1727:D1729)</f>
        <v>3600666.6630000002</v>
      </c>
      <c r="E1726" s="215">
        <f>SUM(E1727:E1729)</f>
        <v>3960733.3293000003</v>
      </c>
    </row>
    <row r="1727" spans="1:6" ht="22.05" hidden="1" customHeight="1" outlineLevel="1">
      <c r="A1727" s="264" t="s">
        <v>1288</v>
      </c>
      <c r="B1727" s="217"/>
      <c r="C1727" s="217"/>
      <c r="D1727" s="217">
        <f t="shared" ref="D1727:E1727" si="694">C1727*1.1</f>
        <v>0</v>
      </c>
      <c r="E1727" s="217">
        <f t="shared" si="694"/>
        <v>0</v>
      </c>
    </row>
    <row r="1728" spans="1:6" ht="22.05" hidden="1" customHeight="1" outlineLevel="1">
      <c r="A1728" s="264" t="s">
        <v>1289</v>
      </c>
      <c r="B1728" s="217">
        <v>2990000</v>
      </c>
      <c r="C1728" s="217">
        <f>'Itemized Budget 2026-27'!E3943</f>
        <v>3273333.33</v>
      </c>
      <c r="D1728" s="217">
        <f t="shared" ref="D1728:E1728" si="695">C1728*1.1</f>
        <v>3600666.6630000002</v>
      </c>
      <c r="E1728" s="217">
        <f t="shared" si="695"/>
        <v>3960733.3293000003</v>
      </c>
    </row>
    <row r="1729" spans="1:5" ht="22.05" hidden="1" customHeight="1" outlineLevel="1">
      <c r="A1729" s="264" t="s">
        <v>1290</v>
      </c>
      <c r="B1729" s="217"/>
      <c r="C1729" s="217"/>
      <c r="D1729" s="217">
        <f t="shared" ref="D1729:E1729" si="696">C1729*1.1</f>
        <v>0</v>
      </c>
      <c r="E1729" s="217">
        <f t="shared" si="696"/>
        <v>0</v>
      </c>
    </row>
    <row r="1730" spans="1:5" ht="22.05" hidden="1" customHeight="1" outlineLevel="1">
      <c r="A1730" s="218" t="s">
        <v>1291</v>
      </c>
      <c r="B1730" s="215">
        <v>0</v>
      </c>
      <c r="C1730" s="215">
        <f>SUM(C1731:C1732)</f>
        <v>0</v>
      </c>
      <c r="D1730" s="215">
        <f t="shared" ref="D1730:E1730" si="697">SUM(D1731:D1732)</f>
        <v>0</v>
      </c>
      <c r="E1730" s="215">
        <f t="shared" si="697"/>
        <v>0</v>
      </c>
    </row>
    <row r="1731" spans="1:5" s="201" customFormat="1" ht="22.05" hidden="1" customHeight="1" outlineLevel="1">
      <c r="A1731" s="224" t="s">
        <v>1299</v>
      </c>
      <c r="B1731" s="217"/>
      <c r="C1731" s="217"/>
      <c r="D1731" s="217">
        <f t="shared" ref="D1731:E1731" si="698">C1731*1.1</f>
        <v>0</v>
      </c>
      <c r="E1731" s="217">
        <f t="shared" si="698"/>
        <v>0</v>
      </c>
    </row>
    <row r="1732" spans="1:5" ht="22.05" hidden="1" customHeight="1" outlineLevel="1">
      <c r="A1732" s="224" t="s">
        <v>1300</v>
      </c>
      <c r="B1732" s="217"/>
      <c r="C1732" s="217"/>
      <c r="D1732" s="217">
        <f t="shared" ref="D1732:E1732" si="699">C1732*1.1</f>
        <v>0</v>
      </c>
      <c r="E1732" s="217">
        <f t="shared" si="699"/>
        <v>0</v>
      </c>
    </row>
    <row r="1733" spans="1:5" ht="22.05" hidden="1" customHeight="1" outlineLevel="1">
      <c r="A1733" s="218" t="s">
        <v>1301</v>
      </c>
      <c r="B1733" s="215">
        <v>2990000</v>
      </c>
      <c r="C1733" s="215">
        <f>SUM(C1730,C1726)</f>
        <v>3273333.33</v>
      </c>
      <c r="D1733" s="215">
        <f>SUM(D1730,D1726)</f>
        <v>3600666.6630000002</v>
      </c>
      <c r="E1733" s="215">
        <f>SUM(E1730,E1726)</f>
        <v>3960733.3293000003</v>
      </c>
    </row>
    <row r="1734" spans="1:5" ht="22.05" hidden="1" customHeight="1" outlineLevel="1">
      <c r="A1734" s="201"/>
      <c r="B1734" s="208"/>
      <c r="C1734" s="208"/>
      <c r="D1734" s="208"/>
      <c r="E1734" s="208"/>
    </row>
    <row r="1735" spans="1:5" ht="22.05" hidden="1" customHeight="1" outlineLevel="1">
      <c r="A1735" s="201"/>
      <c r="B1735" s="208"/>
      <c r="C1735" s="208"/>
      <c r="D1735" s="208"/>
      <c r="E1735" s="208"/>
    </row>
    <row r="1736" spans="1:5" ht="22.05" hidden="1" customHeight="1" outlineLevel="1">
      <c r="A1736" s="201" t="s">
        <v>1543</v>
      </c>
    </row>
    <row r="1737" spans="1:5" ht="22.05" hidden="1" customHeight="1" outlineLevel="1">
      <c r="A1737" s="201" t="s">
        <v>1536</v>
      </c>
      <c r="B1737" s="208"/>
      <c r="C1737" s="208"/>
      <c r="D1737" s="208"/>
      <c r="E1737" s="208"/>
    </row>
    <row r="1738" spans="1:5" ht="22.05" hidden="1" customHeight="1" outlineLevel="1">
      <c r="A1738" s="210" t="s">
        <v>1287</v>
      </c>
      <c r="B1738" s="822" t="s">
        <v>1257</v>
      </c>
      <c r="C1738" s="822" t="s">
        <v>1258</v>
      </c>
      <c r="D1738" s="824" t="s">
        <v>1259</v>
      </c>
      <c r="E1738" s="825"/>
    </row>
    <row r="1739" spans="1:5" ht="22.05" hidden="1" customHeight="1" outlineLevel="1">
      <c r="A1739" s="211"/>
      <c r="B1739" s="823"/>
      <c r="C1739" s="823"/>
      <c r="D1739" s="788" t="s">
        <v>1260</v>
      </c>
      <c r="E1739" s="788" t="s">
        <v>1261</v>
      </c>
    </row>
    <row r="1740" spans="1:5" ht="22.05" hidden="1" customHeight="1" outlineLevel="1">
      <c r="A1740" s="218" t="s">
        <v>1298</v>
      </c>
      <c r="B1740" s="215">
        <v>9922600</v>
      </c>
      <c r="C1740" s="215">
        <f>SUM(C1741:C1743)</f>
        <v>8072600</v>
      </c>
      <c r="D1740" s="215">
        <f>SUM(D1741:D1743)</f>
        <v>8879860</v>
      </c>
      <c r="E1740" s="215">
        <f>SUM(E1741:E1743)</f>
        <v>9767846</v>
      </c>
    </row>
    <row r="1741" spans="1:5" ht="22.05" hidden="1" customHeight="1" outlineLevel="1">
      <c r="A1741" s="224" t="s">
        <v>1288</v>
      </c>
      <c r="B1741" s="217"/>
      <c r="C1741" s="217"/>
      <c r="D1741" s="217">
        <f t="shared" ref="D1741:E1741" si="700">C1741*1.1</f>
        <v>0</v>
      </c>
      <c r="E1741" s="217">
        <f t="shared" si="700"/>
        <v>0</v>
      </c>
    </row>
    <row r="1742" spans="1:5" ht="22.05" hidden="1" customHeight="1" outlineLevel="1">
      <c r="A1742" s="224" t="s">
        <v>1289</v>
      </c>
      <c r="B1742" s="217">
        <v>9922600</v>
      </c>
      <c r="C1742" s="217">
        <f>'Itemized Budget 2026-27'!E4074</f>
        <v>8072600</v>
      </c>
      <c r="D1742" s="217">
        <f t="shared" ref="D1742:E1742" si="701">C1742*1.1</f>
        <v>8879860</v>
      </c>
      <c r="E1742" s="217">
        <f t="shared" si="701"/>
        <v>9767846</v>
      </c>
    </row>
    <row r="1743" spans="1:5" ht="22.05" hidden="1" customHeight="1" outlineLevel="1">
      <c r="A1743" s="224" t="s">
        <v>1290</v>
      </c>
      <c r="B1743" s="217">
        <v>0</v>
      </c>
      <c r="C1743" s="217">
        <v>0</v>
      </c>
      <c r="D1743" s="217">
        <f t="shared" ref="D1743:E1743" si="702">C1743*1.1</f>
        <v>0</v>
      </c>
      <c r="E1743" s="217">
        <f t="shared" si="702"/>
        <v>0</v>
      </c>
    </row>
    <row r="1744" spans="1:5" ht="22.05" hidden="1" customHeight="1" outlineLevel="1">
      <c r="A1744" s="218" t="s">
        <v>1291</v>
      </c>
      <c r="B1744" s="215">
        <v>27500000</v>
      </c>
      <c r="C1744" s="215">
        <f>SUM(C1745:C1746)</f>
        <v>19500000</v>
      </c>
      <c r="D1744" s="215">
        <f t="shared" ref="D1744:E1744" si="703">SUM(D1745:D1746)</f>
        <v>21450000</v>
      </c>
      <c r="E1744" s="215">
        <f t="shared" si="703"/>
        <v>23595000.000000004</v>
      </c>
    </row>
    <row r="1745" spans="1:5" ht="22.05" hidden="1" customHeight="1" outlineLevel="1">
      <c r="A1745" s="224" t="s">
        <v>1299</v>
      </c>
      <c r="B1745" s="217">
        <v>27500000</v>
      </c>
      <c r="C1745" s="217">
        <f>'Itemized Budget 2026-27'!E4083</f>
        <v>19500000</v>
      </c>
      <c r="D1745" s="217">
        <f t="shared" ref="D1745:E1745" si="704">C1745*1.1</f>
        <v>21450000</v>
      </c>
      <c r="E1745" s="217">
        <f t="shared" si="704"/>
        <v>23595000.000000004</v>
      </c>
    </row>
    <row r="1746" spans="1:5" ht="22.05" hidden="1" customHeight="1" outlineLevel="1">
      <c r="A1746" s="224" t="s">
        <v>1300</v>
      </c>
      <c r="B1746" s="217"/>
      <c r="C1746" s="217"/>
      <c r="D1746" s="217">
        <f t="shared" ref="D1746:E1746" si="705">C1746*1.1</f>
        <v>0</v>
      </c>
      <c r="E1746" s="217">
        <f t="shared" si="705"/>
        <v>0</v>
      </c>
    </row>
    <row r="1747" spans="1:5" ht="22.05" hidden="1" customHeight="1" outlineLevel="1">
      <c r="A1747" s="218" t="s">
        <v>1301</v>
      </c>
      <c r="B1747" s="215">
        <v>37422600</v>
      </c>
      <c r="C1747" s="215">
        <f>C1740+C1744</f>
        <v>27572600</v>
      </c>
      <c r="D1747" s="215">
        <f>D1740+D1744</f>
        <v>30329860</v>
      </c>
      <c r="E1747" s="215">
        <f>E1740+E1744</f>
        <v>33362846.000000004</v>
      </c>
    </row>
    <row r="1748" spans="1:5" ht="22.05" hidden="1" customHeight="1" outlineLevel="1">
      <c r="A1748" s="201"/>
      <c r="B1748" s="208"/>
      <c r="C1748" s="208"/>
      <c r="D1748" s="208"/>
      <c r="E1748" s="208"/>
    </row>
    <row r="1749" spans="1:5" ht="22.05" hidden="1" customHeight="1" outlineLevel="1">
      <c r="A1749" s="201" t="s">
        <v>1537</v>
      </c>
    </row>
    <row r="1750" spans="1:5" ht="22.05" hidden="1" customHeight="1" outlineLevel="1">
      <c r="A1750" s="210" t="s">
        <v>1287</v>
      </c>
      <c r="B1750" s="822" t="s">
        <v>1257</v>
      </c>
      <c r="C1750" s="822" t="s">
        <v>1258</v>
      </c>
      <c r="D1750" s="824" t="s">
        <v>1259</v>
      </c>
      <c r="E1750" s="825"/>
    </row>
    <row r="1751" spans="1:5" ht="22.05" hidden="1" customHeight="1" outlineLevel="1">
      <c r="A1751" s="211"/>
      <c r="B1751" s="823"/>
      <c r="C1751" s="823"/>
      <c r="D1751" s="788" t="s">
        <v>1260</v>
      </c>
      <c r="E1751" s="788" t="s">
        <v>1261</v>
      </c>
    </row>
    <row r="1752" spans="1:5" ht="22.05" hidden="1" customHeight="1" outlineLevel="1">
      <c r="A1752" s="218" t="s">
        <v>1298</v>
      </c>
      <c r="B1752" s="215">
        <v>5205400</v>
      </c>
      <c r="C1752" s="215">
        <f>SUM(C1753:C1755)</f>
        <v>6053273.3300000001</v>
      </c>
      <c r="D1752" s="215">
        <f>SUM(D1753:D1755)</f>
        <v>6658600.6630000006</v>
      </c>
      <c r="E1752" s="215">
        <f>SUM(E1753:E1755)</f>
        <v>7324460.7293000016</v>
      </c>
    </row>
    <row r="1753" spans="1:5" ht="22.05" hidden="1" customHeight="1" outlineLevel="1">
      <c r="A1753" s="224" t="s">
        <v>1288</v>
      </c>
      <c r="B1753" s="217">
        <v>0</v>
      </c>
      <c r="C1753" s="217">
        <f>0</f>
        <v>0</v>
      </c>
      <c r="D1753" s="217">
        <f t="shared" ref="D1753:E1753" si="706">C1753*1.1</f>
        <v>0</v>
      </c>
      <c r="E1753" s="217">
        <f t="shared" si="706"/>
        <v>0</v>
      </c>
    </row>
    <row r="1754" spans="1:5" ht="22.05" hidden="1" customHeight="1" outlineLevel="1">
      <c r="A1754" s="224" t="s">
        <v>1289</v>
      </c>
      <c r="B1754" s="217">
        <v>5205400</v>
      </c>
      <c r="C1754" s="217">
        <f>'Itemized Budget 2026-27'!E3983</f>
        <v>6053273.3300000001</v>
      </c>
      <c r="D1754" s="217">
        <f t="shared" ref="D1754:E1754" si="707">C1754*1.1</f>
        <v>6658600.6630000006</v>
      </c>
      <c r="E1754" s="217">
        <f t="shared" si="707"/>
        <v>7324460.7293000016</v>
      </c>
    </row>
    <row r="1755" spans="1:5" ht="22.05" hidden="1" customHeight="1" outlineLevel="1">
      <c r="A1755" s="224" t="s">
        <v>1290</v>
      </c>
      <c r="B1755" s="217">
        <v>0</v>
      </c>
      <c r="C1755" s="217">
        <v>0</v>
      </c>
      <c r="D1755" s="217">
        <f t="shared" ref="D1755:E1755" si="708">C1755*1.1</f>
        <v>0</v>
      </c>
      <c r="E1755" s="217">
        <f t="shared" si="708"/>
        <v>0</v>
      </c>
    </row>
    <row r="1756" spans="1:5" ht="22.05" hidden="1" customHeight="1" outlineLevel="1">
      <c r="A1756" s="218" t="s">
        <v>1291</v>
      </c>
      <c r="B1756" s="215">
        <v>2912127</v>
      </c>
      <c r="C1756" s="215">
        <f>SUM(C1757:C1758)</f>
        <v>2912127</v>
      </c>
      <c r="D1756" s="215">
        <f t="shared" ref="D1756:E1756" si="709">SUM(D1757:D1758)</f>
        <v>3203339.7</v>
      </c>
      <c r="E1756" s="215">
        <f t="shared" si="709"/>
        <v>3523673.6700000004</v>
      </c>
    </row>
    <row r="1757" spans="1:5" ht="22.05" hidden="1" customHeight="1" outlineLevel="1">
      <c r="A1757" s="224" t="s">
        <v>1299</v>
      </c>
      <c r="B1757" s="217">
        <v>2912127</v>
      </c>
      <c r="C1757" s="217">
        <f>'Itemized Budget 2026-27'!E3990</f>
        <v>2912127</v>
      </c>
      <c r="D1757" s="217">
        <f t="shared" ref="D1757:E1757" si="710">C1757*1.1</f>
        <v>3203339.7</v>
      </c>
      <c r="E1757" s="217">
        <f t="shared" si="710"/>
        <v>3523673.6700000004</v>
      </c>
    </row>
    <row r="1758" spans="1:5" ht="22.05" hidden="1" customHeight="1" outlineLevel="1">
      <c r="A1758" s="224" t="s">
        <v>1300</v>
      </c>
      <c r="B1758" s="217"/>
      <c r="C1758" s="217"/>
      <c r="D1758" s="217">
        <f t="shared" ref="D1758:E1758" si="711">C1758*1.1</f>
        <v>0</v>
      </c>
      <c r="E1758" s="217">
        <f t="shared" si="711"/>
        <v>0</v>
      </c>
    </row>
    <row r="1759" spans="1:5" ht="22.05" hidden="1" customHeight="1" outlineLevel="1">
      <c r="A1759" s="263" t="s">
        <v>1301</v>
      </c>
      <c r="B1759" s="215">
        <v>8117527</v>
      </c>
      <c r="C1759" s="215">
        <f>SUM(C1756,C1752)</f>
        <v>8965400.3300000001</v>
      </c>
      <c r="D1759" s="215">
        <f>SUM(D1756,D1752)</f>
        <v>9861940.3630000018</v>
      </c>
      <c r="E1759" s="215">
        <f>SUM(E1756,E1752)</f>
        <v>10848134.399300002</v>
      </c>
    </row>
    <row r="1760" spans="1:5" ht="22.05" hidden="1" customHeight="1" outlineLevel="1">
      <c r="A1760" s="265"/>
      <c r="B1760" s="208"/>
      <c r="C1760" s="208"/>
      <c r="D1760" s="208"/>
      <c r="E1760" s="208"/>
    </row>
    <row r="1761" spans="1:5" ht="22.05" hidden="1" customHeight="1" outlineLevel="1">
      <c r="A1761" s="265"/>
      <c r="B1761" s="208"/>
      <c r="C1761" s="208"/>
      <c r="D1761" s="208"/>
      <c r="E1761" s="208"/>
    </row>
    <row r="1762" spans="1:5" ht="22.05" hidden="1" customHeight="1" outlineLevel="1">
      <c r="A1762" s="201" t="s">
        <v>1538</v>
      </c>
    </row>
    <row r="1763" spans="1:5" ht="22.05" hidden="1" customHeight="1" outlineLevel="1">
      <c r="A1763" s="210" t="s">
        <v>1287</v>
      </c>
      <c r="B1763" s="822" t="s">
        <v>1257</v>
      </c>
      <c r="C1763" s="822" t="s">
        <v>1258</v>
      </c>
      <c r="D1763" s="824" t="s">
        <v>1259</v>
      </c>
      <c r="E1763" s="825"/>
    </row>
    <row r="1764" spans="1:5" ht="22.05" hidden="1" customHeight="1" outlineLevel="1">
      <c r="A1764" s="211"/>
      <c r="B1764" s="823"/>
      <c r="C1764" s="823"/>
      <c r="D1764" s="788" t="s">
        <v>1260</v>
      </c>
      <c r="E1764" s="788" t="s">
        <v>1261</v>
      </c>
    </row>
    <row r="1765" spans="1:5" ht="22.05" hidden="1" customHeight="1" outlineLevel="1">
      <c r="A1765" s="218" t="s">
        <v>1298</v>
      </c>
      <c r="B1765" s="215">
        <v>10972127</v>
      </c>
      <c r="C1765" s="215">
        <f>SUM(C1766:C1768)</f>
        <v>13698317.48</v>
      </c>
      <c r="D1765" s="215">
        <f>SUM(D1766:D1768)</f>
        <v>15068149.228</v>
      </c>
      <c r="E1765" s="215">
        <f>SUM(E1766:E1768)</f>
        <v>16574964.150800001</v>
      </c>
    </row>
    <row r="1766" spans="1:5" ht="22.05" hidden="1" customHeight="1" outlineLevel="1">
      <c r="A1766" s="224" t="s">
        <v>1288</v>
      </c>
      <c r="B1766" s="217">
        <v>0</v>
      </c>
      <c r="C1766" s="217">
        <f>0</f>
        <v>0</v>
      </c>
      <c r="D1766" s="217">
        <f t="shared" ref="D1766:E1766" si="712">C1766*1.1</f>
        <v>0</v>
      </c>
      <c r="E1766" s="217">
        <f t="shared" si="712"/>
        <v>0</v>
      </c>
    </row>
    <row r="1767" spans="1:5" ht="22.05" hidden="1" customHeight="1" outlineLevel="1">
      <c r="A1767" s="224" t="s">
        <v>1289</v>
      </c>
      <c r="B1767" s="217">
        <v>6560000</v>
      </c>
      <c r="C1767" s="217">
        <f>'Itemized Budget 2026-27'!E4031-'Itemized Budget 2026-27'!E4028</f>
        <v>9286190.4800000004</v>
      </c>
      <c r="D1767" s="217">
        <f t="shared" ref="D1767:E1767" si="713">C1767*1.1</f>
        <v>10214809.528000001</v>
      </c>
      <c r="E1767" s="217">
        <f t="shared" si="713"/>
        <v>11236290.480800001</v>
      </c>
    </row>
    <row r="1768" spans="1:5" ht="22.05" hidden="1" customHeight="1" outlineLevel="1">
      <c r="A1768" s="224" t="s">
        <v>1290</v>
      </c>
      <c r="B1768" s="217">
        <v>4412127</v>
      </c>
      <c r="C1768" s="217">
        <f>'Itemized Budget 2026-27'!E4028</f>
        <v>4412127</v>
      </c>
      <c r="D1768" s="217">
        <f t="shared" ref="D1768:E1768" si="714">C1768*1.1</f>
        <v>4853339.7</v>
      </c>
      <c r="E1768" s="217">
        <f t="shared" si="714"/>
        <v>5338673.6700000009</v>
      </c>
    </row>
    <row r="1769" spans="1:5" ht="22.05" hidden="1" customHeight="1" outlineLevel="1">
      <c r="A1769" s="218" t="s">
        <v>1291</v>
      </c>
      <c r="B1769" s="215">
        <v>22000000</v>
      </c>
      <c r="C1769" s="215">
        <f>SUM(C1770:C1771)</f>
        <v>9830133</v>
      </c>
      <c r="D1769" s="215">
        <f t="shared" ref="D1769:E1769" si="715">SUM(D1770:D1771)</f>
        <v>10813146.300000001</v>
      </c>
      <c r="E1769" s="215">
        <f t="shared" si="715"/>
        <v>11894460.930000002</v>
      </c>
    </row>
    <row r="1770" spans="1:5" ht="22.05" hidden="1" customHeight="1" outlineLevel="1">
      <c r="A1770" s="224" t="s">
        <v>1299</v>
      </c>
      <c r="B1770" s="217">
        <v>22000000</v>
      </c>
      <c r="C1770" s="217">
        <f>'Itemized Budget 2026-27'!E4040</f>
        <v>9830133</v>
      </c>
      <c r="D1770" s="217">
        <f t="shared" ref="D1770:E1770" si="716">C1770*1.1</f>
        <v>10813146.300000001</v>
      </c>
      <c r="E1770" s="217">
        <f t="shared" si="716"/>
        <v>11894460.930000002</v>
      </c>
    </row>
    <row r="1771" spans="1:5" ht="22.05" hidden="1" customHeight="1" outlineLevel="1">
      <c r="A1771" s="224" t="s">
        <v>1300</v>
      </c>
      <c r="B1771" s="217"/>
      <c r="C1771" s="217"/>
      <c r="D1771" s="217">
        <f t="shared" ref="D1771:E1771" si="717">C1771*1.1</f>
        <v>0</v>
      </c>
      <c r="E1771" s="217">
        <f t="shared" si="717"/>
        <v>0</v>
      </c>
    </row>
    <row r="1772" spans="1:5" ht="22.05" hidden="1" customHeight="1" outlineLevel="1">
      <c r="A1772" s="263" t="s">
        <v>1301</v>
      </c>
      <c r="B1772" s="215">
        <v>32972127</v>
      </c>
      <c r="C1772" s="215">
        <f>SUM(C1769,C1765)</f>
        <v>23528450.48</v>
      </c>
      <c r="D1772" s="215">
        <f>SUM(D1769,D1765)</f>
        <v>25881295.528000001</v>
      </c>
      <c r="E1772" s="215">
        <f>SUM(E1769,E1765)</f>
        <v>28469425.080800004</v>
      </c>
    </row>
    <row r="1773" spans="1:5" ht="22.05" hidden="1" customHeight="1" outlineLevel="1">
      <c r="A1773" s="265"/>
      <c r="B1773" s="208"/>
      <c r="C1773" s="208"/>
      <c r="D1773" s="208"/>
      <c r="E1773" s="208"/>
    </row>
    <row r="1774" spans="1:5" ht="22.05" hidden="1" customHeight="1" outlineLevel="1"/>
    <row r="1775" spans="1:5" ht="22.05" hidden="1" customHeight="1" outlineLevel="1">
      <c r="A1775" s="218" t="s">
        <v>1083</v>
      </c>
    </row>
    <row r="1776" spans="1:5" ht="22.05" hidden="1" customHeight="1" outlineLevel="1">
      <c r="A1776" s="210" t="s">
        <v>1287</v>
      </c>
      <c r="B1776" s="822" t="s">
        <v>1257</v>
      </c>
      <c r="C1776" s="822" t="s">
        <v>1258</v>
      </c>
      <c r="D1776" s="824" t="s">
        <v>1259</v>
      </c>
      <c r="E1776" s="825"/>
    </row>
    <row r="1777" spans="1:5" ht="22.05" hidden="1" customHeight="1" outlineLevel="1">
      <c r="A1777" s="211"/>
      <c r="B1777" s="823"/>
      <c r="C1777" s="823"/>
      <c r="D1777" s="788" t="s">
        <v>1260</v>
      </c>
      <c r="E1777" s="788" t="s">
        <v>1261</v>
      </c>
    </row>
    <row r="1778" spans="1:5" ht="22.05" hidden="1" customHeight="1" outlineLevel="1">
      <c r="A1778" s="218" t="s">
        <v>1298</v>
      </c>
      <c r="B1778" s="215">
        <v>166889877.52535599</v>
      </c>
      <c r="C1778" s="215">
        <f>SUM(C1779:C1781)</f>
        <v>8138660</v>
      </c>
      <c r="D1778" s="215">
        <f>SUM(D1779:D1781)</f>
        <v>8952526</v>
      </c>
      <c r="E1778" s="215">
        <f>SUM(E1779:E1781)</f>
        <v>9847778.6000000015</v>
      </c>
    </row>
    <row r="1779" spans="1:5" ht="22.05" hidden="1" customHeight="1" outlineLevel="1">
      <c r="A1779" s="224" t="s">
        <v>1288</v>
      </c>
      <c r="B1779" s="217">
        <v>0</v>
      </c>
      <c r="C1779" s="217">
        <f>0</f>
        <v>0</v>
      </c>
      <c r="D1779" s="217">
        <f t="shared" ref="D1779:E1779" si="718">C1779*1.1</f>
        <v>0</v>
      </c>
      <c r="E1779" s="217">
        <f t="shared" si="718"/>
        <v>0</v>
      </c>
    </row>
    <row r="1780" spans="1:5" ht="22.05" hidden="1" customHeight="1" outlineLevel="1">
      <c r="A1780" s="224" t="s">
        <v>1289</v>
      </c>
      <c r="B1780" s="217">
        <v>166889877.52535599</v>
      </c>
      <c r="C1780" s="217">
        <f>'Itemized Budget 2026-27'!E4118</f>
        <v>8138660</v>
      </c>
      <c r="D1780" s="217">
        <f t="shared" ref="D1780:E1780" si="719">C1780*1.1</f>
        <v>8952526</v>
      </c>
      <c r="E1780" s="217">
        <f t="shared" si="719"/>
        <v>9847778.6000000015</v>
      </c>
    </row>
    <row r="1781" spans="1:5" ht="22.05" hidden="1" customHeight="1" outlineLevel="1">
      <c r="A1781" s="224" t="s">
        <v>1290</v>
      </c>
      <c r="B1781" s="217"/>
      <c r="C1781" s="217"/>
      <c r="D1781" s="217">
        <f t="shared" ref="D1781:E1781" si="720">C1781*1.1</f>
        <v>0</v>
      </c>
      <c r="E1781" s="217">
        <f t="shared" si="720"/>
        <v>0</v>
      </c>
    </row>
    <row r="1782" spans="1:5" ht="22.05" hidden="1" customHeight="1" outlineLevel="1">
      <c r="A1782" s="218" t="s">
        <v>1291</v>
      </c>
      <c r="B1782" s="215">
        <v>276404634.12599999</v>
      </c>
      <c r="C1782" s="215">
        <f>SUM(C1783:C1784)</f>
        <v>99114154.069999993</v>
      </c>
      <c r="D1782" s="215">
        <f t="shared" ref="D1782:E1782" si="721">SUM(D1783:D1784)</f>
        <v>109025569.477</v>
      </c>
      <c r="E1782" s="215">
        <f t="shared" si="721"/>
        <v>119928126.42470001</v>
      </c>
    </row>
    <row r="1783" spans="1:5" ht="22.05" hidden="1" customHeight="1" outlineLevel="1">
      <c r="A1783" s="224" t="s">
        <v>1299</v>
      </c>
      <c r="B1783" s="217">
        <v>276404634.12599999</v>
      </c>
      <c r="C1783" s="217">
        <f>'Itemized Budget 2026-27'!E4137</f>
        <v>99114154.069999993</v>
      </c>
      <c r="D1783" s="217">
        <f t="shared" ref="D1783:E1783" si="722">C1783*1.1</f>
        <v>109025569.477</v>
      </c>
      <c r="E1783" s="217">
        <f t="shared" si="722"/>
        <v>119928126.42470001</v>
      </c>
    </row>
    <row r="1784" spans="1:5" ht="22.05" hidden="1" customHeight="1" outlineLevel="1">
      <c r="A1784" s="224" t="s">
        <v>1300</v>
      </c>
      <c r="B1784" s="217"/>
      <c r="C1784" s="217"/>
      <c r="D1784" s="217">
        <f t="shared" ref="D1784:E1784" si="723">C1784*1.1</f>
        <v>0</v>
      </c>
      <c r="E1784" s="217">
        <f t="shared" si="723"/>
        <v>0</v>
      </c>
    </row>
    <row r="1785" spans="1:5" ht="22.05" hidden="1" customHeight="1" outlineLevel="1">
      <c r="A1785" s="263" t="s">
        <v>1301</v>
      </c>
      <c r="B1785" s="215">
        <v>443294511.65135598</v>
      </c>
      <c r="C1785" s="215">
        <f>SUM(C1782,C1778)</f>
        <v>107252814.06999999</v>
      </c>
      <c r="D1785" s="215">
        <f>SUM(D1782,D1778)</f>
        <v>117978095.477</v>
      </c>
      <c r="E1785" s="215">
        <f>SUM(E1782,E1778)</f>
        <v>129775905.02470002</v>
      </c>
    </row>
    <row r="1786" spans="1:5" ht="22.05" customHeight="1" collapsed="1"/>
    <row r="1787" spans="1:5" ht="22.05" customHeight="1">
      <c r="A1787" s="201" t="s">
        <v>1100</v>
      </c>
    </row>
    <row r="1788" spans="1:5" ht="22.05" hidden="1" customHeight="1" outlineLevel="1">
      <c r="A1788" s="237"/>
    </row>
    <row r="1789" spans="1:5" ht="22.05" hidden="1" customHeight="1" outlineLevel="1">
      <c r="A1789" s="201" t="s">
        <v>1255</v>
      </c>
      <c r="B1789" s="209"/>
      <c r="C1789" s="209"/>
      <c r="D1789" s="209"/>
      <c r="E1789" s="209"/>
    </row>
    <row r="1790" spans="1:5" ht="22.05" hidden="1" customHeight="1" outlineLevel="1">
      <c r="A1790" s="210" t="s">
        <v>1256</v>
      </c>
      <c r="B1790" s="822" t="s">
        <v>1257</v>
      </c>
      <c r="C1790" s="822" t="s">
        <v>1258</v>
      </c>
      <c r="D1790" s="824" t="s">
        <v>1259</v>
      </c>
      <c r="E1790" s="825"/>
    </row>
    <row r="1791" spans="1:5" s="203" customFormat="1" ht="22.05" hidden="1" customHeight="1" outlineLevel="1">
      <c r="A1791" s="211"/>
      <c r="B1791" s="823"/>
      <c r="C1791" s="823"/>
      <c r="D1791" s="788" t="s">
        <v>1260</v>
      </c>
      <c r="E1791" s="788" t="s">
        <v>1261</v>
      </c>
    </row>
    <row r="1792" spans="1:5" s="203" customFormat="1" ht="22.05" hidden="1" customHeight="1" outlineLevel="1">
      <c r="A1792" s="266"/>
      <c r="B1792" s="267"/>
      <c r="C1792" s="267"/>
      <c r="D1792" s="788" t="s">
        <v>1544</v>
      </c>
      <c r="E1792" s="788" t="s">
        <v>1260</v>
      </c>
    </row>
    <row r="1793" spans="1:5" s="204" customFormat="1" ht="22.05" hidden="1" customHeight="1" outlineLevel="1">
      <c r="A1793" s="268" t="s">
        <v>1545</v>
      </c>
      <c r="B1793" s="217">
        <v>0</v>
      </c>
      <c r="C1793" s="217">
        <f>C1835</f>
        <v>67136736</v>
      </c>
      <c r="D1793" s="217">
        <f>D1835</f>
        <v>73850409.600000009</v>
      </c>
      <c r="E1793" s="217">
        <f>E1835</f>
        <v>81235450.560000017</v>
      </c>
    </row>
    <row r="1794" spans="1:5" s="203" customFormat="1" ht="22.05" hidden="1" customHeight="1" outlineLevel="1">
      <c r="A1794" s="269" t="s">
        <v>1360</v>
      </c>
      <c r="B1794" s="215">
        <v>0</v>
      </c>
      <c r="C1794" s="215">
        <f>C1793</f>
        <v>67136736</v>
      </c>
      <c r="D1794" s="215">
        <f>D1793</f>
        <v>73850409.600000009</v>
      </c>
      <c r="E1794" s="215">
        <f>E1793</f>
        <v>81235450.560000017</v>
      </c>
    </row>
    <row r="1795" spans="1:5" s="204" customFormat="1" ht="22.05" hidden="1" customHeight="1" outlineLevel="1">
      <c r="A1795" s="268" t="s">
        <v>1546</v>
      </c>
      <c r="B1795" s="217">
        <v>0</v>
      </c>
      <c r="C1795" s="217">
        <f>C1863</f>
        <v>47859000</v>
      </c>
      <c r="D1795" s="217">
        <f>D1863</f>
        <v>52644900.000000007</v>
      </c>
      <c r="E1795" s="217">
        <f>E1863</f>
        <v>57909390.000000015</v>
      </c>
    </row>
    <row r="1796" spans="1:5" s="203" customFormat="1" ht="22.05" hidden="1" customHeight="1" outlineLevel="1">
      <c r="A1796" s="269" t="s">
        <v>1547</v>
      </c>
      <c r="B1796" s="215">
        <v>0</v>
      </c>
      <c r="C1796" s="215">
        <f>SUM(C1795:C1795)</f>
        <v>47859000</v>
      </c>
      <c r="D1796" s="215">
        <f>SUM(D1795:D1795)</f>
        <v>52644900.000000007</v>
      </c>
      <c r="E1796" s="215">
        <f>SUM(E1795:E1795)</f>
        <v>57909390.000000015</v>
      </c>
    </row>
    <row r="1797" spans="1:5" s="204" customFormat="1" ht="22.05" hidden="1" customHeight="1" outlineLevel="1">
      <c r="A1797" s="270" t="s">
        <v>1548</v>
      </c>
      <c r="B1797" s="217">
        <v>0</v>
      </c>
      <c r="C1797" s="217">
        <f>C1876</f>
        <v>30029000</v>
      </c>
      <c r="D1797" s="217">
        <f>D1876</f>
        <v>33031900.000000004</v>
      </c>
      <c r="E1797" s="217">
        <f>E1876</f>
        <v>36335090.000000007</v>
      </c>
    </row>
    <row r="1798" spans="1:5" s="204" customFormat="1" ht="22.05" hidden="1" customHeight="1" outlineLevel="1">
      <c r="A1798" s="271" t="s">
        <v>1549</v>
      </c>
      <c r="B1798" s="215">
        <v>0</v>
      </c>
      <c r="C1798" s="215">
        <f>SUM(C1797:C1797)</f>
        <v>30029000</v>
      </c>
      <c r="D1798" s="215">
        <f>SUM(D1797:D1797)</f>
        <v>33031900.000000004</v>
      </c>
      <c r="E1798" s="215">
        <f>SUM(E1797:E1797)</f>
        <v>36335090.000000007</v>
      </c>
    </row>
    <row r="1799" spans="1:5" s="204" customFormat="1" ht="22.05" hidden="1" customHeight="1" outlineLevel="1">
      <c r="A1799" s="270" t="s">
        <v>1550</v>
      </c>
      <c r="B1799" s="272">
        <v>0</v>
      </c>
      <c r="C1799" s="272">
        <f>C1849</f>
        <v>15947618</v>
      </c>
      <c r="D1799" s="273">
        <f>D1849</f>
        <v>17542379.800000001</v>
      </c>
      <c r="E1799" s="273">
        <f>E1849</f>
        <v>19296617.780000001</v>
      </c>
    </row>
    <row r="1800" spans="1:5" s="204" customFormat="1" ht="22.05" hidden="1" customHeight="1" outlineLevel="1">
      <c r="A1800" s="271" t="s">
        <v>1551</v>
      </c>
      <c r="B1800" s="274">
        <v>0</v>
      </c>
      <c r="C1800" s="274">
        <f>C1799</f>
        <v>15947618</v>
      </c>
      <c r="D1800" s="275">
        <f>D1799</f>
        <v>17542379.800000001</v>
      </c>
      <c r="E1800" s="275">
        <f>E1799</f>
        <v>19296617.780000001</v>
      </c>
    </row>
    <row r="1801" spans="1:5" s="204" customFormat="1" ht="22.05" hidden="1" customHeight="1" outlineLevel="1">
      <c r="A1801" s="224" t="s">
        <v>1552</v>
      </c>
      <c r="B1801" s="273">
        <v>0</v>
      </c>
      <c r="C1801" s="273">
        <f>C1891</f>
        <v>53022416</v>
      </c>
      <c r="D1801" s="273">
        <f>D1891</f>
        <v>58324657.600000001</v>
      </c>
      <c r="E1801" s="273">
        <f>E1891</f>
        <v>64157123.360000007</v>
      </c>
    </row>
    <row r="1802" spans="1:5" s="203" customFormat="1" ht="22.05" hidden="1" customHeight="1" outlineLevel="1">
      <c r="A1802" s="276" t="s">
        <v>1553</v>
      </c>
      <c r="B1802" s="277">
        <v>0</v>
      </c>
      <c r="C1802" s="277">
        <f>C1801</f>
        <v>53022416</v>
      </c>
      <c r="D1802" s="275">
        <f>D1801</f>
        <v>58324657.600000001</v>
      </c>
      <c r="E1802" s="275">
        <f>E1801</f>
        <v>64157123.360000007</v>
      </c>
    </row>
    <row r="1803" spans="1:5" s="203" customFormat="1" ht="22.05" hidden="1" customHeight="1" outlineLevel="1">
      <c r="A1803" s="278" t="s">
        <v>1554</v>
      </c>
      <c r="B1803" s="279">
        <v>0</v>
      </c>
      <c r="C1803" s="279">
        <f>C1904</f>
        <v>0</v>
      </c>
      <c r="D1803" s="279">
        <f>D1904</f>
        <v>0</v>
      </c>
      <c r="E1803" s="279">
        <f>E1904</f>
        <v>0</v>
      </c>
    </row>
    <row r="1804" spans="1:5" s="203" customFormat="1" ht="22.05" hidden="1" customHeight="1" outlineLevel="1">
      <c r="A1804" s="276" t="s">
        <v>1555</v>
      </c>
      <c r="B1804" s="277">
        <v>0</v>
      </c>
      <c r="C1804" s="277">
        <f>C1803</f>
        <v>0</v>
      </c>
      <c r="D1804" s="277">
        <f>D1803</f>
        <v>0</v>
      </c>
      <c r="E1804" s="277">
        <f>E1803</f>
        <v>0</v>
      </c>
    </row>
    <row r="1805" spans="1:5" s="204" customFormat="1" ht="22.05" hidden="1" customHeight="1" outlineLevel="1">
      <c r="A1805" s="280" t="s">
        <v>1285</v>
      </c>
      <c r="B1805" s="275">
        <v>0</v>
      </c>
      <c r="C1805" s="275">
        <f>SUM(C1802+C1800+C1798+C1796+C1794+C1804)</f>
        <v>213994770</v>
      </c>
      <c r="D1805" s="275">
        <f>SUM(D1802+D1800+D1798+D1796+D1794+D1804)</f>
        <v>235394247</v>
      </c>
      <c r="E1805" s="275">
        <f>SUM(E1802+E1800+E1798+E1796+E1794+E1804)</f>
        <v>258933671.70000005</v>
      </c>
    </row>
    <row r="1806" spans="1:5" s="204" customFormat="1" ht="22.05" hidden="1" customHeight="1" outlineLevel="1">
      <c r="A1806" s="237"/>
      <c r="B1806" s="281"/>
      <c r="C1806" s="281"/>
      <c r="D1806" s="281"/>
      <c r="E1806" s="281"/>
    </row>
    <row r="1807" spans="1:5" s="204" customFormat="1" ht="22.05" hidden="1" customHeight="1" outlineLevel="1">
      <c r="A1807" s="237"/>
      <c r="B1807" s="281">
        <v>0</v>
      </c>
      <c r="C1807" s="281"/>
      <c r="D1807" s="281"/>
      <c r="E1807" s="281"/>
    </row>
    <row r="1808" spans="1:5" s="204" customFormat="1" ht="22.05" hidden="1" customHeight="1" outlineLevel="1">
      <c r="A1808" s="201" t="s">
        <v>1323</v>
      </c>
      <c r="B1808" s="281"/>
      <c r="C1808" s="281"/>
      <c r="D1808" s="281"/>
      <c r="E1808" s="281"/>
    </row>
    <row r="1809" spans="1:7" s="204" customFormat="1" ht="22.05" hidden="1" customHeight="1" outlineLevel="1">
      <c r="A1809" s="201"/>
      <c r="B1809" s="281"/>
      <c r="C1809" s="281"/>
      <c r="D1809" s="281"/>
      <c r="E1809" s="281"/>
    </row>
    <row r="1810" spans="1:7" s="203" customFormat="1" ht="22.05" hidden="1" customHeight="1" outlineLevel="1">
      <c r="A1810" s="210" t="s">
        <v>1287</v>
      </c>
      <c r="B1810" s="822" t="s">
        <v>1257</v>
      </c>
      <c r="C1810" s="822" t="s">
        <v>1258</v>
      </c>
      <c r="D1810" s="824" t="s">
        <v>1259</v>
      </c>
      <c r="E1810" s="825"/>
    </row>
    <row r="1811" spans="1:7" s="204" customFormat="1" ht="22.05" hidden="1" customHeight="1" outlineLevel="1">
      <c r="A1811" s="211"/>
      <c r="B1811" s="823"/>
      <c r="C1811" s="823"/>
      <c r="D1811" s="788" t="s">
        <v>1260</v>
      </c>
      <c r="E1811" s="788" t="s">
        <v>1261</v>
      </c>
    </row>
    <row r="1812" spans="1:7" s="204" customFormat="1" ht="22.05" hidden="1" customHeight="1" outlineLevel="1">
      <c r="A1812" s="214" t="s">
        <v>1298</v>
      </c>
      <c r="B1812" s="215">
        <v>0</v>
      </c>
      <c r="C1812" s="215">
        <f>SUM(C1813:C1815)</f>
        <v>85780354</v>
      </c>
      <c r="D1812" s="215">
        <f>SUM(D1813:D1815)</f>
        <v>94358389.400000006</v>
      </c>
      <c r="E1812" s="215">
        <f>SUM(E1813:E1815)</f>
        <v>103794228.34000002</v>
      </c>
    </row>
    <row r="1813" spans="1:7" s="204" customFormat="1" ht="22.05" hidden="1" customHeight="1" outlineLevel="1">
      <c r="A1813" s="212" t="s">
        <v>1288</v>
      </c>
      <c r="B1813" s="217">
        <v>0</v>
      </c>
      <c r="C1813" s="217">
        <f>C1829+C1857+C1870+C1843+C1885+C1898</f>
        <v>35508829</v>
      </c>
      <c r="D1813" s="217">
        <f t="shared" ref="C1813:E1815" si="724">D1829+D1857+D1870+D1843+D1885+D1898</f>
        <v>39059711.900000006</v>
      </c>
      <c r="E1813" s="217">
        <f t="shared" si="724"/>
        <v>42965683.090000011</v>
      </c>
    </row>
    <row r="1814" spans="1:7" s="204" customFormat="1" ht="22.05" hidden="1" customHeight="1" outlineLevel="1">
      <c r="A1814" s="212" t="s">
        <v>1289</v>
      </c>
      <c r="B1814" s="217">
        <v>0</v>
      </c>
      <c r="C1814" s="217">
        <f t="shared" si="724"/>
        <v>48971525</v>
      </c>
      <c r="D1814" s="217">
        <f t="shared" si="724"/>
        <v>53868677.5</v>
      </c>
      <c r="E1814" s="217">
        <f t="shared" si="724"/>
        <v>59255545.250000007</v>
      </c>
    </row>
    <row r="1815" spans="1:7" s="204" customFormat="1" ht="22.05" hidden="1" customHeight="1" outlineLevel="1">
      <c r="A1815" s="212" t="s">
        <v>1290</v>
      </c>
      <c r="B1815" s="217">
        <v>0</v>
      </c>
      <c r="C1815" s="217">
        <f t="shared" si="724"/>
        <v>1300000</v>
      </c>
      <c r="D1815" s="217">
        <f t="shared" si="724"/>
        <v>1430000</v>
      </c>
      <c r="E1815" s="217">
        <f t="shared" si="724"/>
        <v>1573000.0000000005</v>
      </c>
    </row>
    <row r="1816" spans="1:7" s="204" customFormat="1" ht="22.05" hidden="1" customHeight="1" outlineLevel="1">
      <c r="A1816" s="214" t="s">
        <v>1291</v>
      </c>
      <c r="B1816" s="215">
        <v>0</v>
      </c>
      <c r="C1816" s="215">
        <f>SUM(C1817:C1818)</f>
        <v>128214416</v>
      </c>
      <c r="D1816" s="215">
        <f>SUM(D1817:D1818)</f>
        <v>141035857.60000002</v>
      </c>
      <c r="E1816" s="215">
        <f>SUM(E1817:E1818)</f>
        <v>155139443.36000004</v>
      </c>
    </row>
    <row r="1817" spans="1:7" s="204" customFormat="1" ht="22.05" hidden="1" customHeight="1" outlineLevel="1">
      <c r="A1817" s="212" t="s">
        <v>1299</v>
      </c>
      <c r="B1817" s="217">
        <v>0</v>
      </c>
      <c r="C1817" s="217">
        <f t="shared" ref="C1817:E1818" si="725">C1833+C1861+C1874+C1847+C1889+C1902</f>
        <v>128214416</v>
      </c>
      <c r="D1817" s="217">
        <f t="shared" si="725"/>
        <v>141035857.60000002</v>
      </c>
      <c r="E1817" s="217">
        <f t="shared" si="725"/>
        <v>155139443.36000004</v>
      </c>
    </row>
    <row r="1818" spans="1:7" s="203" customFormat="1" ht="22.05" hidden="1" customHeight="1" outlineLevel="1">
      <c r="A1818" s="212" t="s">
        <v>1293</v>
      </c>
      <c r="B1818" s="217">
        <v>0</v>
      </c>
      <c r="C1818" s="217">
        <f t="shared" si="725"/>
        <v>0</v>
      </c>
      <c r="D1818" s="217">
        <f t="shared" si="725"/>
        <v>0</v>
      </c>
      <c r="E1818" s="217">
        <f t="shared" si="725"/>
        <v>0</v>
      </c>
    </row>
    <row r="1819" spans="1:7" s="204" customFormat="1" ht="22.05" hidden="1" customHeight="1" outlineLevel="1">
      <c r="A1819" s="214" t="s">
        <v>1556</v>
      </c>
      <c r="B1819" s="215">
        <v>0</v>
      </c>
      <c r="C1819" s="215">
        <f>C1816+C1812</f>
        <v>213994770</v>
      </c>
      <c r="D1819" s="215">
        <f>D1816+D1812</f>
        <v>235394247.00000003</v>
      </c>
      <c r="E1819" s="215">
        <f>E1816+E1812</f>
        <v>258933671.70000005</v>
      </c>
      <c r="G1819" s="282"/>
    </row>
    <row r="1820" spans="1:7" s="203" customFormat="1" ht="22.05" hidden="1" customHeight="1" outlineLevel="1">
      <c r="A1820" s="237"/>
      <c r="B1820" s="283"/>
      <c r="C1820" s="283"/>
      <c r="D1820" s="283"/>
      <c r="E1820" s="283"/>
    </row>
    <row r="1821" spans="1:7" s="203" customFormat="1" ht="22.05" hidden="1" customHeight="1" outlineLevel="1">
      <c r="A1821" s="237"/>
      <c r="B1821" s="283"/>
      <c r="C1821" s="283"/>
      <c r="D1821" s="283"/>
      <c r="E1821" s="283"/>
    </row>
    <row r="1822" spans="1:7" s="204" customFormat="1" ht="22.05" hidden="1" customHeight="1" outlineLevel="1">
      <c r="A1822" s="201" t="s">
        <v>1295</v>
      </c>
      <c r="B1822" s="206"/>
      <c r="C1822" s="206"/>
      <c r="D1822" s="206"/>
      <c r="E1822" s="206"/>
    </row>
    <row r="1823" spans="1:7" s="203" customFormat="1" ht="22.05" hidden="1" customHeight="1" outlineLevel="1">
      <c r="A1823" s="201"/>
      <c r="B1823" s="206"/>
      <c r="C1823" s="206"/>
      <c r="D1823" s="206"/>
      <c r="E1823" s="206"/>
    </row>
    <row r="1824" spans="1:7" s="204" customFormat="1" ht="22.05" hidden="1" customHeight="1" outlineLevel="1">
      <c r="A1824" s="201" t="s">
        <v>1557</v>
      </c>
      <c r="B1824" s="206"/>
      <c r="C1824" s="206"/>
      <c r="D1824" s="206"/>
      <c r="E1824" s="206"/>
    </row>
    <row r="1825" spans="1:5" s="203" customFormat="1" ht="22.05" hidden="1" customHeight="1" outlineLevel="1">
      <c r="A1825" s="201" t="s">
        <v>1558</v>
      </c>
      <c r="B1825" s="206"/>
      <c r="C1825" s="206"/>
      <c r="D1825" s="206"/>
      <c r="E1825" s="206"/>
    </row>
    <row r="1826" spans="1:5" s="204" customFormat="1" ht="22.05" hidden="1" customHeight="1" outlineLevel="1">
      <c r="A1826" s="210" t="s">
        <v>1287</v>
      </c>
      <c r="B1826" s="822" t="s">
        <v>1257</v>
      </c>
      <c r="C1826" s="822" t="s">
        <v>1258</v>
      </c>
      <c r="D1826" s="824" t="s">
        <v>1259</v>
      </c>
      <c r="E1826" s="825"/>
    </row>
    <row r="1827" spans="1:5" s="204" customFormat="1" ht="22.05" hidden="1" customHeight="1" outlineLevel="1">
      <c r="A1827" s="211"/>
      <c r="B1827" s="823"/>
      <c r="C1827" s="823"/>
      <c r="D1827" s="788" t="s">
        <v>1260</v>
      </c>
      <c r="E1827" s="788" t="s">
        <v>1261</v>
      </c>
    </row>
    <row r="1828" spans="1:5" s="203" customFormat="1" ht="22.05" hidden="1" customHeight="1" outlineLevel="1">
      <c r="A1828" s="214" t="s">
        <v>1298</v>
      </c>
      <c r="B1828" s="215">
        <v>0</v>
      </c>
      <c r="C1828" s="215">
        <f>SUM(C1829:C1831)</f>
        <v>66336736</v>
      </c>
      <c r="D1828" s="215">
        <f>SUM(D1829:D1831)</f>
        <v>72970409.600000009</v>
      </c>
      <c r="E1828" s="215">
        <f>SUM(E1829:E1831)</f>
        <v>80267450.560000017</v>
      </c>
    </row>
    <row r="1829" spans="1:5" s="204" customFormat="1" ht="22.05" hidden="1" customHeight="1" outlineLevel="1">
      <c r="A1829" s="212" t="s">
        <v>1288</v>
      </c>
      <c r="B1829" s="217">
        <v>0</v>
      </c>
      <c r="C1829" s="217">
        <f>'Itemized Budget 2026-27'!E4148</f>
        <v>35508829</v>
      </c>
      <c r="D1829" s="284">
        <f>C1829*1.1</f>
        <v>39059711.900000006</v>
      </c>
      <c r="E1829" s="284">
        <f>D1829*1.1</f>
        <v>42965683.090000011</v>
      </c>
    </row>
    <row r="1830" spans="1:5" s="203" customFormat="1" ht="22.05" hidden="1" customHeight="1" outlineLevel="1">
      <c r="A1830" s="212" t="s">
        <v>1289</v>
      </c>
      <c r="B1830" s="217">
        <v>0</v>
      </c>
      <c r="C1830" s="217">
        <f>'Itemized Budget 2026-27'!E4185-'Itemized Budget 2026-27'!E4183-'Itemized Budget 2026-27'!E4148</f>
        <v>30527907</v>
      </c>
      <c r="D1830" s="284">
        <f t="shared" ref="D1830:E1830" si="726">C1830*1.1</f>
        <v>33580697.700000003</v>
      </c>
      <c r="E1830" s="284">
        <f t="shared" si="726"/>
        <v>36938767.470000006</v>
      </c>
    </row>
    <row r="1831" spans="1:5" s="203" customFormat="1" ht="22.05" hidden="1" customHeight="1" outlineLevel="1">
      <c r="A1831" s="212" t="s">
        <v>1290</v>
      </c>
      <c r="B1831" s="217">
        <v>0</v>
      </c>
      <c r="C1831" s="217">
        <f>'Itemized Budget 2026-27'!E4183</f>
        <v>300000</v>
      </c>
      <c r="D1831" s="284">
        <f t="shared" ref="D1831:E1831" si="727">C1831*1.1</f>
        <v>330000</v>
      </c>
      <c r="E1831" s="284">
        <f t="shared" si="727"/>
        <v>363000.00000000006</v>
      </c>
    </row>
    <row r="1832" spans="1:5" s="203" customFormat="1" ht="22.05" hidden="1" customHeight="1" outlineLevel="1">
      <c r="A1832" s="214" t="s">
        <v>1291</v>
      </c>
      <c r="B1832" s="215">
        <v>0</v>
      </c>
      <c r="C1832" s="215">
        <f>SUM(C1833:C1834)</f>
        <v>800000</v>
      </c>
      <c r="D1832" s="215">
        <f>SUM(D1833:D1834)</f>
        <v>880000.00000000012</v>
      </c>
      <c r="E1832" s="215">
        <f>SUM(E1833:E1834)</f>
        <v>968000.00000000023</v>
      </c>
    </row>
    <row r="1833" spans="1:5" s="203" customFormat="1" ht="22.05" hidden="1" customHeight="1" outlineLevel="1">
      <c r="A1833" s="212" t="s">
        <v>1299</v>
      </c>
      <c r="B1833" s="217">
        <v>0</v>
      </c>
      <c r="C1833" s="217">
        <f>'Itemized Budget 2026-27'!E4190</f>
        <v>800000</v>
      </c>
      <c r="D1833" s="284">
        <f t="shared" ref="D1833:E1833" si="728">C1833*1.1</f>
        <v>880000.00000000012</v>
      </c>
      <c r="E1833" s="284">
        <f t="shared" si="728"/>
        <v>968000.00000000023</v>
      </c>
    </row>
    <row r="1834" spans="1:5" s="203" customFormat="1" ht="22.05" hidden="1" customHeight="1" outlineLevel="1">
      <c r="A1834" s="212" t="s">
        <v>1300</v>
      </c>
      <c r="B1834" s="217"/>
      <c r="C1834" s="217"/>
      <c r="D1834" s="284">
        <f t="shared" ref="D1834:E1834" si="729">C1834*1.1</f>
        <v>0</v>
      </c>
      <c r="E1834" s="284">
        <f t="shared" si="729"/>
        <v>0</v>
      </c>
    </row>
    <row r="1835" spans="1:5" s="203" customFormat="1" ht="22.05" hidden="1" customHeight="1" outlineLevel="1">
      <c r="A1835" s="214" t="s">
        <v>1559</v>
      </c>
      <c r="B1835" s="215">
        <v>0</v>
      </c>
      <c r="C1835" s="215">
        <f>SUM(C1832+C1828)</f>
        <v>67136736</v>
      </c>
      <c r="D1835" s="215">
        <f>SUM(D1832+D1828)</f>
        <v>73850409.600000009</v>
      </c>
      <c r="E1835" s="215">
        <f>SUM(E1832+E1828)</f>
        <v>81235450.560000017</v>
      </c>
    </row>
    <row r="1836" spans="1:5" s="203" customFormat="1" ht="22.05" hidden="1" customHeight="1" outlineLevel="1">
      <c r="A1836" s="205"/>
      <c r="B1836" s="206"/>
      <c r="C1836" s="206"/>
      <c r="D1836" s="206"/>
      <c r="E1836" s="206"/>
    </row>
    <row r="1837" spans="1:5" s="203" customFormat="1" ht="22.05" hidden="1" customHeight="1" outlineLevel="1">
      <c r="A1837" s="205"/>
      <c r="B1837" s="206"/>
      <c r="C1837" s="206"/>
      <c r="D1837" s="206"/>
      <c r="E1837" s="206"/>
    </row>
    <row r="1838" spans="1:5" s="204" customFormat="1" ht="22.05" hidden="1" customHeight="1" outlineLevel="1">
      <c r="A1838" s="271" t="s">
        <v>1551</v>
      </c>
      <c r="B1838" s="274"/>
      <c r="C1838" s="274"/>
      <c r="D1838" s="217"/>
      <c r="E1838" s="217"/>
    </row>
    <row r="1839" spans="1:5" s="204" customFormat="1" ht="22.05" hidden="1" customHeight="1" outlineLevel="1">
      <c r="A1839" s="271" t="s">
        <v>1550</v>
      </c>
      <c r="B1839" s="274"/>
      <c r="C1839" s="274"/>
      <c r="D1839" s="217"/>
      <c r="E1839" s="217"/>
    </row>
    <row r="1840" spans="1:5" s="203" customFormat="1" ht="22.05" hidden="1" customHeight="1" outlineLevel="1">
      <c r="A1840" s="210" t="s">
        <v>1287</v>
      </c>
      <c r="B1840" s="822" t="s">
        <v>1257</v>
      </c>
      <c r="C1840" s="822" t="s">
        <v>1258</v>
      </c>
      <c r="D1840" s="824" t="s">
        <v>1259</v>
      </c>
      <c r="E1840" s="825"/>
    </row>
    <row r="1841" spans="1:5" s="204" customFormat="1" ht="22.05" hidden="1" customHeight="1" outlineLevel="1">
      <c r="A1841" s="211"/>
      <c r="B1841" s="823"/>
      <c r="C1841" s="823"/>
      <c r="D1841" s="788" t="s">
        <v>1260</v>
      </c>
      <c r="E1841" s="788" t="s">
        <v>1261</v>
      </c>
    </row>
    <row r="1842" spans="1:5" s="204" customFormat="1" ht="22.05" hidden="1" customHeight="1" outlineLevel="1">
      <c r="A1842" s="214" t="s">
        <v>1298</v>
      </c>
      <c r="B1842" s="215">
        <v>0</v>
      </c>
      <c r="C1842" s="215">
        <f>SUM(C1843:C1845)</f>
        <v>6247618</v>
      </c>
      <c r="D1842" s="215">
        <f>SUM(D1843:D1845)</f>
        <v>6872379.8000000007</v>
      </c>
      <c r="E1842" s="215">
        <f>SUM(E1843:E1845)</f>
        <v>7559617.7800000012</v>
      </c>
    </row>
    <row r="1843" spans="1:5" s="204" customFormat="1" ht="22.05" hidden="1" customHeight="1" outlineLevel="1">
      <c r="A1843" s="212" t="s">
        <v>1288</v>
      </c>
      <c r="B1843" s="217"/>
      <c r="C1843" s="217"/>
      <c r="D1843" s="284">
        <f t="shared" ref="D1843:E1843" si="730">C1843*1.1</f>
        <v>0</v>
      </c>
      <c r="E1843" s="284">
        <f t="shared" si="730"/>
        <v>0</v>
      </c>
    </row>
    <row r="1844" spans="1:5" s="204" customFormat="1" ht="22.05" hidden="1" customHeight="1" outlineLevel="1">
      <c r="A1844" s="212" t="s">
        <v>1289</v>
      </c>
      <c r="B1844" s="217">
        <v>0</v>
      </c>
      <c r="C1844" s="217">
        <f>'Itemized Budget 2026-27'!E4222-'Itemized Budget 2026-27'!E4220</f>
        <v>5547618</v>
      </c>
      <c r="D1844" s="284">
        <f t="shared" ref="D1844:E1844" si="731">C1844*1.1</f>
        <v>6102379.8000000007</v>
      </c>
      <c r="E1844" s="284">
        <f t="shared" si="731"/>
        <v>6712617.7800000012</v>
      </c>
    </row>
    <row r="1845" spans="1:5" s="204" customFormat="1" ht="22.05" hidden="1" customHeight="1" outlineLevel="1">
      <c r="A1845" s="212" t="s">
        <v>1290</v>
      </c>
      <c r="B1845" s="217"/>
      <c r="C1845" s="217">
        <f>'Itemized Budget 2026-27'!E4220</f>
        <v>700000</v>
      </c>
      <c r="D1845" s="284">
        <f t="shared" ref="D1845:E1845" si="732">C1845*1.1</f>
        <v>770000.00000000012</v>
      </c>
      <c r="E1845" s="284">
        <f t="shared" si="732"/>
        <v>847000.00000000023</v>
      </c>
    </row>
    <row r="1846" spans="1:5" s="204" customFormat="1" ht="22.05" hidden="1" customHeight="1" outlineLevel="1">
      <c r="A1846" s="214" t="s">
        <v>1291</v>
      </c>
      <c r="B1846" s="215">
        <v>0</v>
      </c>
      <c r="C1846" s="215">
        <f>SUM(C1847:C1848)</f>
        <v>9700000</v>
      </c>
      <c r="D1846" s="215">
        <f t="shared" ref="D1846:E1846" si="733">SUM(D1847:D1848)</f>
        <v>10670000</v>
      </c>
      <c r="E1846" s="215">
        <f t="shared" si="733"/>
        <v>11737000.000000002</v>
      </c>
    </row>
    <row r="1847" spans="1:5" s="204" customFormat="1" ht="22.05" hidden="1" customHeight="1" outlineLevel="1">
      <c r="A1847" s="212" t="s">
        <v>1299</v>
      </c>
      <c r="B1847" s="217">
        <v>0</v>
      </c>
      <c r="C1847" s="217">
        <f>'Itemized Budget 2026-27'!E4232</f>
        <v>9700000</v>
      </c>
      <c r="D1847" s="284">
        <f t="shared" ref="D1847:E1847" si="734">C1847*1.1</f>
        <v>10670000</v>
      </c>
      <c r="E1847" s="284">
        <f t="shared" si="734"/>
        <v>11737000.000000002</v>
      </c>
    </row>
    <row r="1848" spans="1:5" s="204" customFormat="1" ht="22.05" hidden="1" customHeight="1" outlineLevel="1">
      <c r="A1848" s="212" t="s">
        <v>1300</v>
      </c>
      <c r="B1848" s="217"/>
      <c r="C1848" s="217"/>
      <c r="D1848" s="284">
        <f t="shared" ref="D1848:E1848" si="735">C1848*1.1</f>
        <v>0</v>
      </c>
      <c r="E1848" s="284">
        <f t="shared" si="735"/>
        <v>0</v>
      </c>
    </row>
    <row r="1849" spans="1:5" s="204" customFormat="1" ht="22.05" hidden="1" customHeight="1" outlineLevel="1">
      <c r="A1849" s="214" t="s">
        <v>1559</v>
      </c>
      <c r="B1849" s="215">
        <v>0</v>
      </c>
      <c r="C1849" s="215">
        <f>SUM(C1846+C1842)</f>
        <v>15947618</v>
      </c>
      <c r="D1849" s="215">
        <f>SUM(D1846+D1842)</f>
        <v>17542379.800000001</v>
      </c>
      <c r="E1849" s="215">
        <f>SUM(E1846+E1842)</f>
        <v>19296617.780000001</v>
      </c>
    </row>
    <row r="1850" spans="1:5" s="203" customFormat="1" ht="22.05" hidden="1" customHeight="1" outlineLevel="1">
      <c r="A1850" s="205"/>
      <c r="B1850" s="206"/>
      <c r="C1850" s="206"/>
      <c r="D1850" s="206"/>
      <c r="E1850" s="206"/>
    </row>
    <row r="1851" spans="1:5" s="203" customFormat="1" ht="22.05" hidden="1" customHeight="1" outlineLevel="1">
      <c r="A1851" s="205"/>
      <c r="B1851" s="206"/>
      <c r="C1851" s="206"/>
      <c r="D1851" s="206"/>
      <c r="E1851" s="206"/>
    </row>
    <row r="1852" spans="1:5" s="203" customFormat="1" ht="22.05" hidden="1" customHeight="1" outlineLevel="1">
      <c r="A1852" s="218" t="s">
        <v>1560</v>
      </c>
      <c r="B1852" s="215"/>
      <c r="C1852" s="215"/>
      <c r="D1852" s="215"/>
      <c r="E1852" s="217"/>
    </row>
    <row r="1853" spans="1:5" s="203" customFormat="1" ht="22.05" hidden="1" customHeight="1" outlineLevel="1">
      <c r="A1853" s="218" t="s">
        <v>1561</v>
      </c>
      <c r="B1853" s="215"/>
      <c r="C1853" s="215"/>
      <c r="D1853" s="215"/>
      <c r="E1853" s="217"/>
    </row>
    <row r="1854" spans="1:5" s="203" customFormat="1" ht="22.05" hidden="1" customHeight="1" outlineLevel="1">
      <c r="A1854" s="210" t="s">
        <v>1287</v>
      </c>
      <c r="B1854" s="822" t="s">
        <v>1257</v>
      </c>
      <c r="C1854" s="822" t="s">
        <v>1258</v>
      </c>
      <c r="D1854" s="824" t="s">
        <v>1259</v>
      </c>
      <c r="E1854" s="825"/>
    </row>
    <row r="1855" spans="1:5" s="203" customFormat="1" ht="22.05" hidden="1" customHeight="1" outlineLevel="1">
      <c r="A1855" s="211"/>
      <c r="B1855" s="823"/>
      <c r="C1855" s="823"/>
      <c r="D1855" s="788" t="s">
        <v>1260</v>
      </c>
      <c r="E1855" s="788" t="s">
        <v>1261</v>
      </c>
    </row>
    <row r="1856" spans="1:5" s="203" customFormat="1" ht="22.05" hidden="1" customHeight="1" outlineLevel="1">
      <c r="A1856" s="214" t="s">
        <v>1298</v>
      </c>
      <c r="B1856" s="215">
        <v>0</v>
      </c>
      <c r="C1856" s="215">
        <f>SUM(C1857:C1859)</f>
        <v>4059000</v>
      </c>
      <c r="D1856" s="215">
        <f>SUM(D1857:D1859)</f>
        <v>4464900</v>
      </c>
      <c r="E1856" s="215">
        <f>SUM(E1857:E1859)</f>
        <v>4911390.0000000009</v>
      </c>
    </row>
    <row r="1857" spans="1:5" s="203" customFormat="1" ht="22.05" hidden="1" customHeight="1" outlineLevel="1">
      <c r="A1857" s="212" t="s">
        <v>1288</v>
      </c>
      <c r="B1857" s="217"/>
      <c r="C1857" s="217"/>
      <c r="D1857" s="284">
        <f t="shared" ref="D1857:E1857" si="736">C1857*1.1</f>
        <v>0</v>
      </c>
      <c r="E1857" s="284">
        <f t="shared" si="736"/>
        <v>0</v>
      </c>
    </row>
    <row r="1858" spans="1:5" s="203" customFormat="1" ht="22.05" hidden="1" customHeight="1" outlineLevel="1">
      <c r="A1858" s="212" t="s">
        <v>1289</v>
      </c>
      <c r="B1858" s="217">
        <v>0</v>
      </c>
      <c r="C1858" s="217">
        <f>'Itemized Budget 2026-27'!E4252-'Itemized Budget 2026-27'!E4250</f>
        <v>3759000</v>
      </c>
      <c r="D1858" s="284">
        <f t="shared" ref="D1858:E1858" si="737">C1858*1.1</f>
        <v>4134900.0000000005</v>
      </c>
      <c r="E1858" s="284">
        <f t="shared" si="737"/>
        <v>4548390.0000000009</v>
      </c>
    </row>
    <row r="1859" spans="1:5" s="203" customFormat="1" ht="22.05" hidden="1" customHeight="1" outlineLevel="1">
      <c r="A1859" s="212" t="s">
        <v>1290</v>
      </c>
      <c r="B1859" s="217">
        <v>0</v>
      </c>
      <c r="C1859" s="217">
        <f>'Itemized Budget 2026-27'!E4250</f>
        <v>300000</v>
      </c>
      <c r="D1859" s="284">
        <f t="shared" ref="D1859:E1859" si="738">C1859*1.1</f>
        <v>330000</v>
      </c>
      <c r="E1859" s="284">
        <f t="shared" si="738"/>
        <v>363000.00000000006</v>
      </c>
    </row>
    <row r="1860" spans="1:5" s="203" customFormat="1" ht="22.05" hidden="1" customHeight="1" outlineLevel="1">
      <c r="A1860" s="214" t="s">
        <v>1291</v>
      </c>
      <c r="B1860" s="215">
        <v>0</v>
      </c>
      <c r="C1860" s="215">
        <f>SUM(C1861:C1862)</f>
        <v>43800000</v>
      </c>
      <c r="D1860" s="215">
        <f t="shared" ref="D1860:E1860" si="739">SUM(D1861:D1862)</f>
        <v>48180000.000000007</v>
      </c>
      <c r="E1860" s="215">
        <f t="shared" si="739"/>
        <v>52998000.000000015</v>
      </c>
    </row>
    <row r="1861" spans="1:5" s="203" customFormat="1" ht="22.05" hidden="1" customHeight="1" outlineLevel="1">
      <c r="A1861" s="212" t="s">
        <v>1299</v>
      </c>
      <c r="B1861" s="217">
        <v>0</v>
      </c>
      <c r="C1861" s="217">
        <f>'Itemized Budget 2026-27'!E4267</f>
        <v>43800000</v>
      </c>
      <c r="D1861" s="284">
        <f t="shared" ref="D1861:E1861" si="740">C1861*1.1</f>
        <v>48180000.000000007</v>
      </c>
      <c r="E1861" s="284">
        <f t="shared" si="740"/>
        <v>52998000.000000015</v>
      </c>
    </row>
    <row r="1862" spans="1:5" s="203" customFormat="1" ht="22.05" hidden="1" customHeight="1" outlineLevel="1">
      <c r="A1862" s="212" t="s">
        <v>1300</v>
      </c>
      <c r="B1862" s="217"/>
      <c r="C1862" s="217"/>
      <c r="D1862" s="284">
        <f t="shared" ref="D1862:E1862" si="741">C1862*1.1</f>
        <v>0</v>
      </c>
      <c r="E1862" s="284">
        <f t="shared" si="741"/>
        <v>0</v>
      </c>
    </row>
    <row r="1863" spans="1:5" s="203" customFormat="1" ht="22.05" hidden="1" customHeight="1" outlineLevel="1">
      <c r="A1863" s="214" t="s">
        <v>1559</v>
      </c>
      <c r="B1863" s="215">
        <v>0</v>
      </c>
      <c r="C1863" s="215">
        <f>SUM(C1860+C1856)</f>
        <v>47859000</v>
      </c>
      <c r="D1863" s="215">
        <f>SUM(D1860+D1856)</f>
        <v>52644900.000000007</v>
      </c>
      <c r="E1863" s="215">
        <f>SUM(E1860+E1856)</f>
        <v>57909390.000000015</v>
      </c>
    </row>
    <row r="1864" spans="1:5" s="203" customFormat="1" ht="22.05" hidden="1" customHeight="1" outlineLevel="1">
      <c r="A1864" s="201"/>
      <c r="B1864" s="206"/>
      <c r="C1864" s="206"/>
      <c r="D1864" s="206"/>
      <c r="E1864" s="206"/>
    </row>
    <row r="1865" spans="1:5" s="204" customFormat="1" ht="22.05" hidden="1" customHeight="1" outlineLevel="1">
      <c r="A1865" s="271" t="s">
        <v>1549</v>
      </c>
      <c r="B1865" s="274"/>
      <c r="C1865" s="274"/>
      <c r="D1865" s="217"/>
      <c r="E1865" s="217"/>
    </row>
    <row r="1866" spans="1:5" s="204" customFormat="1" ht="22.05" hidden="1" customHeight="1" outlineLevel="1">
      <c r="A1866" s="271" t="s">
        <v>1548</v>
      </c>
      <c r="B1866" s="274"/>
      <c r="C1866" s="274"/>
      <c r="D1866" s="217"/>
      <c r="E1866" s="217"/>
    </row>
    <row r="1867" spans="1:5" s="204" customFormat="1" ht="22.05" hidden="1" customHeight="1" outlineLevel="1">
      <c r="A1867" s="210" t="s">
        <v>1287</v>
      </c>
      <c r="B1867" s="822" t="s">
        <v>1257</v>
      </c>
      <c r="C1867" s="822" t="s">
        <v>1258</v>
      </c>
      <c r="D1867" s="824" t="s">
        <v>1259</v>
      </c>
      <c r="E1867" s="825"/>
    </row>
    <row r="1868" spans="1:5" s="203" customFormat="1" ht="22.05" hidden="1" customHeight="1" outlineLevel="1">
      <c r="A1868" s="211"/>
      <c r="B1868" s="823"/>
      <c r="C1868" s="823"/>
      <c r="D1868" s="788" t="s">
        <v>1260</v>
      </c>
      <c r="E1868" s="788" t="s">
        <v>1261</v>
      </c>
    </row>
    <row r="1869" spans="1:5" s="204" customFormat="1" ht="22.05" hidden="1" customHeight="1" outlineLevel="1">
      <c r="A1869" s="214" t="s">
        <v>1298</v>
      </c>
      <c r="B1869" s="215">
        <v>0</v>
      </c>
      <c r="C1869" s="215">
        <f>SUM(C1870:C1872)</f>
        <v>4779000</v>
      </c>
      <c r="D1869" s="215">
        <f>SUM(D1870:D1872)</f>
        <v>5256900</v>
      </c>
      <c r="E1869" s="215">
        <f>SUM(E1870:E1872)</f>
        <v>5782590.0000000009</v>
      </c>
    </row>
    <row r="1870" spans="1:5" s="203" customFormat="1" ht="22.05" hidden="1" customHeight="1" outlineLevel="1">
      <c r="A1870" s="212" t="s">
        <v>1288</v>
      </c>
      <c r="B1870" s="217"/>
      <c r="C1870" s="217"/>
      <c r="D1870" s="284">
        <f t="shared" ref="D1870:E1870" si="742">C1870*1.1</f>
        <v>0</v>
      </c>
      <c r="E1870" s="284">
        <f t="shared" si="742"/>
        <v>0</v>
      </c>
    </row>
    <row r="1871" spans="1:5" s="204" customFormat="1" ht="22.05" hidden="1" customHeight="1" outlineLevel="1">
      <c r="A1871" s="212" t="s">
        <v>1289</v>
      </c>
      <c r="B1871" s="217">
        <v>0</v>
      </c>
      <c r="C1871" s="217">
        <f>'Itemized Budget 2026-27'!E4294</f>
        <v>4779000</v>
      </c>
      <c r="D1871" s="284">
        <f t="shared" ref="D1871:E1871" si="743">C1871*1.1</f>
        <v>5256900</v>
      </c>
      <c r="E1871" s="284">
        <f t="shared" si="743"/>
        <v>5782590.0000000009</v>
      </c>
    </row>
    <row r="1872" spans="1:5" s="204" customFormat="1" ht="22.05" hidden="1" customHeight="1" outlineLevel="1">
      <c r="A1872" s="212" t="s">
        <v>1290</v>
      </c>
      <c r="B1872" s="217">
        <v>0</v>
      </c>
      <c r="C1872" s="217">
        <v>0</v>
      </c>
      <c r="D1872" s="284">
        <f t="shared" ref="D1872:E1872" si="744">C1872*1.1</f>
        <v>0</v>
      </c>
      <c r="E1872" s="284">
        <f t="shared" si="744"/>
        <v>0</v>
      </c>
    </row>
    <row r="1873" spans="1:5" s="204" customFormat="1" ht="22.05" hidden="1" customHeight="1" outlineLevel="1">
      <c r="A1873" s="214" t="s">
        <v>1291</v>
      </c>
      <c r="B1873" s="215">
        <v>0</v>
      </c>
      <c r="C1873" s="215">
        <f>SUM(C1874:C1875)</f>
        <v>25250000</v>
      </c>
      <c r="D1873" s="215">
        <f t="shared" ref="D1873:E1873" si="745">SUM(D1874:D1875)</f>
        <v>27775000.000000004</v>
      </c>
      <c r="E1873" s="215">
        <f t="shared" si="745"/>
        <v>30552500.000000007</v>
      </c>
    </row>
    <row r="1874" spans="1:5" s="203" customFormat="1" ht="22.05" hidden="1" customHeight="1" outlineLevel="1">
      <c r="A1874" s="212" t="s">
        <v>1299</v>
      </c>
      <c r="B1874" s="217">
        <v>0</v>
      </c>
      <c r="C1874" s="217">
        <f>'Itemized Budget 2026-27'!E4306</f>
        <v>25250000</v>
      </c>
      <c r="D1874" s="284">
        <f t="shared" ref="D1874:E1874" si="746">C1874*1.1</f>
        <v>27775000.000000004</v>
      </c>
      <c r="E1874" s="284">
        <f t="shared" si="746"/>
        <v>30552500.000000007</v>
      </c>
    </row>
    <row r="1875" spans="1:5" s="204" customFormat="1" ht="22.05" hidden="1" customHeight="1" outlineLevel="1">
      <c r="A1875" s="212" t="s">
        <v>1300</v>
      </c>
      <c r="B1875" s="217">
        <v>0</v>
      </c>
      <c r="C1875" s="217">
        <v>0</v>
      </c>
      <c r="D1875" s="284">
        <f t="shared" ref="D1875:E1875" si="747">C1875*1.1</f>
        <v>0</v>
      </c>
      <c r="E1875" s="284">
        <f t="shared" si="747"/>
        <v>0</v>
      </c>
    </row>
    <row r="1876" spans="1:5" s="203" customFormat="1" ht="22.05" hidden="1" customHeight="1" outlineLevel="1">
      <c r="A1876" s="214" t="s">
        <v>1559</v>
      </c>
      <c r="B1876" s="215">
        <v>0</v>
      </c>
      <c r="C1876" s="215">
        <f>SUM(C1873+C1869)</f>
        <v>30029000</v>
      </c>
      <c r="D1876" s="215">
        <f>SUM(D1873+D1869)</f>
        <v>33031900.000000004</v>
      </c>
      <c r="E1876" s="215">
        <f>SUM(E1873+E1869)</f>
        <v>36335090.000000007</v>
      </c>
    </row>
    <row r="1877" spans="1:5" s="204" customFormat="1" ht="22.05" hidden="1" customHeight="1" outlineLevel="1">
      <c r="A1877" s="205"/>
      <c r="B1877" s="206"/>
      <c r="C1877" s="206"/>
      <c r="D1877" s="206"/>
      <c r="E1877" s="206"/>
    </row>
    <row r="1878" spans="1:5" s="204" customFormat="1" ht="22.05" hidden="1" customHeight="1" outlineLevel="1">
      <c r="A1878" s="205"/>
      <c r="B1878" s="206"/>
      <c r="C1878" s="206"/>
      <c r="D1878" s="206"/>
      <c r="E1878" s="206"/>
    </row>
    <row r="1879" spans="1:5" s="204" customFormat="1" ht="22.05" hidden="1" customHeight="1" outlineLevel="1">
      <c r="A1879" s="285" t="s">
        <v>1562</v>
      </c>
      <c r="B1879" s="277"/>
      <c r="C1879" s="277"/>
      <c r="D1879" s="217"/>
      <c r="E1879" s="217"/>
    </row>
    <row r="1880" spans="1:5" s="204" customFormat="1" ht="22.05" hidden="1" customHeight="1" outlineLevel="1">
      <c r="A1880" s="276" t="s">
        <v>1563</v>
      </c>
      <c r="B1880" s="277"/>
      <c r="C1880" s="277"/>
      <c r="D1880" s="217"/>
      <c r="E1880" s="217"/>
    </row>
    <row r="1881" spans="1:5" s="203" customFormat="1" ht="22.05" hidden="1" customHeight="1" outlineLevel="1">
      <c r="A1881" s="218" t="s">
        <v>1552</v>
      </c>
      <c r="B1881" s="217"/>
      <c r="C1881" s="217"/>
      <c r="D1881" s="217"/>
      <c r="E1881" s="217"/>
    </row>
    <row r="1882" spans="1:5" s="204" customFormat="1" ht="22.05" hidden="1" customHeight="1" outlineLevel="1">
      <c r="A1882" s="210" t="s">
        <v>1287</v>
      </c>
      <c r="B1882" s="822" t="s">
        <v>1257</v>
      </c>
      <c r="C1882" s="822" t="s">
        <v>1258</v>
      </c>
      <c r="D1882" s="824" t="s">
        <v>1259</v>
      </c>
      <c r="E1882" s="825"/>
    </row>
    <row r="1883" spans="1:5" s="204" customFormat="1" ht="22.05" hidden="1" customHeight="1" outlineLevel="1">
      <c r="A1883" s="211"/>
      <c r="B1883" s="823"/>
      <c r="C1883" s="823"/>
      <c r="D1883" s="788" t="s">
        <v>1260</v>
      </c>
      <c r="E1883" s="788" t="s">
        <v>1261</v>
      </c>
    </row>
    <row r="1884" spans="1:5" s="204" customFormat="1" ht="22.05" hidden="1" customHeight="1" outlineLevel="1">
      <c r="A1884" s="214" t="s">
        <v>1298</v>
      </c>
      <c r="B1884" s="215">
        <v>0</v>
      </c>
      <c r="C1884" s="215">
        <f>SUM(C1885:C1887)</f>
        <v>4358000</v>
      </c>
      <c r="D1884" s="215">
        <f>SUM(D1885:D1887)</f>
        <v>4793800</v>
      </c>
      <c r="E1884" s="215">
        <f>SUM(E1885:E1887)</f>
        <v>5273180</v>
      </c>
    </row>
    <row r="1885" spans="1:5" s="204" customFormat="1" ht="22.05" hidden="1" customHeight="1" outlineLevel="1">
      <c r="A1885" s="212" t="s">
        <v>1288</v>
      </c>
      <c r="B1885" s="286">
        <v>0</v>
      </c>
      <c r="C1885" s="286">
        <v>0</v>
      </c>
      <c r="D1885" s="284">
        <f t="shared" ref="D1885:E1885" si="748">C1885*1.1</f>
        <v>0</v>
      </c>
      <c r="E1885" s="284">
        <f t="shared" si="748"/>
        <v>0</v>
      </c>
    </row>
    <row r="1886" spans="1:5" s="204" customFormat="1" ht="22.05" hidden="1" customHeight="1" outlineLevel="1">
      <c r="A1886" s="212" t="s">
        <v>1289</v>
      </c>
      <c r="B1886" s="286">
        <v>0</v>
      </c>
      <c r="C1886" s="286">
        <f>'Itemized Budget 2026-27'!E4326</f>
        <v>4358000</v>
      </c>
      <c r="D1886" s="284">
        <f t="shared" ref="D1886:E1886" si="749">C1886*1.1</f>
        <v>4793800</v>
      </c>
      <c r="E1886" s="284">
        <f t="shared" si="749"/>
        <v>5273180</v>
      </c>
    </row>
    <row r="1887" spans="1:5" s="204" customFormat="1" ht="22.05" hidden="1" customHeight="1" outlineLevel="1">
      <c r="A1887" s="212" t="s">
        <v>1290</v>
      </c>
      <c r="B1887" s="217">
        <v>0</v>
      </c>
      <c r="C1887" s="217">
        <v>0</v>
      </c>
      <c r="D1887" s="284">
        <f t="shared" ref="D1887:E1887" si="750">C1887*1.1</f>
        <v>0</v>
      </c>
      <c r="E1887" s="284">
        <f t="shared" si="750"/>
        <v>0</v>
      </c>
    </row>
    <row r="1888" spans="1:5" s="204" customFormat="1" ht="22.05" hidden="1" customHeight="1" outlineLevel="1">
      <c r="A1888" s="214" t="s">
        <v>1291</v>
      </c>
      <c r="B1888" s="215">
        <v>0</v>
      </c>
      <c r="C1888" s="215">
        <f>SUM(C1889:C1890)</f>
        <v>48664416</v>
      </c>
      <c r="D1888" s="215">
        <f t="shared" ref="D1888:E1888" si="751">SUM(D1889:D1890)</f>
        <v>53530857.600000001</v>
      </c>
      <c r="E1888" s="215">
        <f t="shared" si="751"/>
        <v>58883943.360000007</v>
      </c>
    </row>
    <row r="1889" spans="1:5" s="204" customFormat="1" ht="22.05" hidden="1" customHeight="1" outlineLevel="1">
      <c r="A1889" s="212" t="s">
        <v>1299</v>
      </c>
      <c r="B1889" s="217">
        <v>0</v>
      </c>
      <c r="C1889" s="217">
        <f>'Itemized Budget 2026-27'!E4336</f>
        <v>48664416</v>
      </c>
      <c r="D1889" s="284">
        <f t="shared" ref="D1889:E1889" si="752">C1889*1.1</f>
        <v>53530857.600000001</v>
      </c>
      <c r="E1889" s="284">
        <f t="shared" si="752"/>
        <v>58883943.360000007</v>
      </c>
    </row>
    <row r="1890" spans="1:5" s="204" customFormat="1" ht="22.05" hidden="1" customHeight="1" outlineLevel="1">
      <c r="A1890" s="212" t="s">
        <v>1300</v>
      </c>
      <c r="B1890" s="217"/>
      <c r="C1890" s="217"/>
      <c r="D1890" s="284">
        <f t="shared" ref="D1890:E1890" si="753">C1890*1.1</f>
        <v>0</v>
      </c>
      <c r="E1890" s="284">
        <f t="shared" si="753"/>
        <v>0</v>
      </c>
    </row>
    <row r="1891" spans="1:5" s="204" customFormat="1" ht="22.05" hidden="1" customHeight="1" outlineLevel="1">
      <c r="A1891" s="214" t="s">
        <v>1559</v>
      </c>
      <c r="B1891" s="215">
        <v>0</v>
      </c>
      <c r="C1891" s="215">
        <f>SUM(C1888+C1884)</f>
        <v>53022416</v>
      </c>
      <c r="D1891" s="215">
        <f>SUM(D1888+D1884)</f>
        <v>58324657.600000001</v>
      </c>
      <c r="E1891" s="215">
        <f>SUM(E1888+E1884)</f>
        <v>64157123.360000007</v>
      </c>
    </row>
    <row r="1892" spans="1:5" s="204" customFormat="1" ht="22.05" hidden="1" customHeight="1" outlineLevel="1">
      <c r="A1892" s="205"/>
      <c r="B1892" s="206"/>
      <c r="C1892" s="206"/>
      <c r="D1892" s="206"/>
      <c r="E1892" s="206"/>
    </row>
    <row r="1893" spans="1:5" s="204" customFormat="1" ht="22.05" hidden="1" customHeight="1" outlineLevel="1">
      <c r="A1893" s="205"/>
      <c r="B1893" s="206"/>
      <c r="C1893" s="206"/>
      <c r="D1893" s="206"/>
      <c r="E1893" s="206"/>
    </row>
    <row r="1894" spans="1:5" s="204" customFormat="1" ht="22.05" hidden="1" customHeight="1" outlineLevel="1">
      <c r="A1894" s="276" t="s">
        <v>1564</v>
      </c>
      <c r="B1894" s="277"/>
      <c r="C1894" s="277"/>
      <c r="D1894" s="217"/>
      <c r="E1894" s="217"/>
    </row>
    <row r="1895" spans="1:5" s="204" customFormat="1" ht="22.05" hidden="1" customHeight="1" outlineLevel="1">
      <c r="A1895" s="210" t="s">
        <v>1287</v>
      </c>
      <c r="B1895" s="822" t="s">
        <v>1257</v>
      </c>
      <c r="C1895" s="822" t="s">
        <v>1258</v>
      </c>
      <c r="D1895" s="824" t="s">
        <v>1259</v>
      </c>
      <c r="E1895" s="825"/>
    </row>
    <row r="1896" spans="1:5" s="204" customFormat="1" ht="22.05" hidden="1" customHeight="1" outlineLevel="1">
      <c r="A1896" s="211"/>
      <c r="B1896" s="823"/>
      <c r="C1896" s="823"/>
      <c r="D1896" s="788" t="s">
        <v>1260</v>
      </c>
      <c r="E1896" s="788" t="s">
        <v>1261</v>
      </c>
    </row>
    <row r="1897" spans="1:5" s="204" customFormat="1" ht="22.05" hidden="1" customHeight="1" outlineLevel="1">
      <c r="A1897" s="214" t="s">
        <v>1298</v>
      </c>
      <c r="B1897" s="215">
        <v>0</v>
      </c>
      <c r="C1897" s="215">
        <f>SUM(C1898:C1900)</f>
        <v>0</v>
      </c>
      <c r="D1897" s="215">
        <f>SUM(D1898:D1900)</f>
        <v>0</v>
      </c>
      <c r="E1897" s="215">
        <f>SUM(E1898:E1900)</f>
        <v>0</v>
      </c>
    </row>
    <row r="1898" spans="1:5" s="204" customFormat="1" ht="22.05" hidden="1" customHeight="1" outlineLevel="1">
      <c r="A1898" s="212" t="s">
        <v>1288</v>
      </c>
      <c r="B1898" s="217">
        <v>0</v>
      </c>
      <c r="C1898" s="217">
        <v>0</v>
      </c>
      <c r="D1898" s="284">
        <f t="shared" ref="D1898:E1898" si="754">C1898*1.1</f>
        <v>0</v>
      </c>
      <c r="E1898" s="284">
        <f t="shared" si="754"/>
        <v>0</v>
      </c>
    </row>
    <row r="1899" spans="1:5" s="204" customFormat="1" ht="22.05" hidden="1" customHeight="1" outlineLevel="1">
      <c r="A1899" s="212" t="s">
        <v>1289</v>
      </c>
      <c r="B1899" s="217"/>
      <c r="C1899" s="217"/>
      <c r="D1899" s="284">
        <f t="shared" ref="D1899:E1899" si="755">C1899*1.1</f>
        <v>0</v>
      </c>
      <c r="E1899" s="284">
        <f t="shared" si="755"/>
        <v>0</v>
      </c>
    </row>
    <row r="1900" spans="1:5" s="204" customFormat="1" ht="22.05" hidden="1" customHeight="1" outlineLevel="1">
      <c r="A1900" s="212" t="s">
        <v>1290</v>
      </c>
      <c r="B1900" s="217"/>
      <c r="C1900" s="217"/>
      <c r="D1900" s="284">
        <f t="shared" ref="D1900:E1900" si="756">C1900*1.1</f>
        <v>0</v>
      </c>
      <c r="E1900" s="284">
        <f t="shared" si="756"/>
        <v>0</v>
      </c>
    </row>
    <row r="1901" spans="1:5" s="204" customFormat="1" ht="22.05" hidden="1" customHeight="1" outlineLevel="1">
      <c r="A1901" s="214" t="s">
        <v>1291</v>
      </c>
      <c r="B1901" s="215">
        <v>0</v>
      </c>
      <c r="C1901" s="215">
        <f>C1902+C1903</f>
        <v>0</v>
      </c>
      <c r="D1901" s="215">
        <f t="shared" ref="D1901:E1901" si="757">D1902+D1903</f>
        <v>0</v>
      </c>
      <c r="E1901" s="215">
        <f t="shared" si="757"/>
        <v>0</v>
      </c>
    </row>
    <row r="1902" spans="1:5" s="204" customFormat="1" ht="22.05" hidden="1" customHeight="1" outlineLevel="1">
      <c r="A1902" s="212" t="s">
        <v>1299</v>
      </c>
      <c r="B1902" s="217"/>
      <c r="C1902" s="217"/>
      <c r="D1902" s="284">
        <f t="shared" ref="D1902:E1902" si="758">C1902*1.1</f>
        <v>0</v>
      </c>
      <c r="E1902" s="284">
        <f t="shared" si="758"/>
        <v>0</v>
      </c>
    </row>
    <row r="1903" spans="1:5" s="204" customFormat="1" ht="22.05" hidden="1" customHeight="1" outlineLevel="1">
      <c r="A1903" s="212" t="s">
        <v>1300</v>
      </c>
      <c r="B1903" s="217">
        <v>0</v>
      </c>
      <c r="C1903" s="217">
        <v>0</v>
      </c>
      <c r="D1903" s="284">
        <f t="shared" ref="D1903:E1903" si="759">C1903*1.1</f>
        <v>0</v>
      </c>
      <c r="E1903" s="284">
        <f t="shared" si="759"/>
        <v>0</v>
      </c>
    </row>
    <row r="1904" spans="1:5" s="204" customFormat="1" ht="22.05" hidden="1" customHeight="1" outlineLevel="1">
      <c r="A1904" s="214" t="s">
        <v>1559</v>
      </c>
      <c r="B1904" s="215">
        <v>0</v>
      </c>
      <c r="C1904" s="215">
        <f>SUM(C1901+C1897)</f>
        <v>0</v>
      </c>
      <c r="D1904" s="215">
        <f>SUM(D1901+D1897)</f>
        <v>0</v>
      </c>
      <c r="E1904" s="215">
        <f>SUM(E1901+E1897)</f>
        <v>0</v>
      </c>
    </row>
    <row r="1905" spans="1:5" ht="22.05" hidden="1" customHeight="1" outlineLevel="1">
      <c r="B1905" s="281"/>
      <c r="C1905" s="281"/>
      <c r="D1905" s="281"/>
      <c r="E1905" s="281"/>
    </row>
    <row r="1906" spans="1:5" ht="22.05" customHeight="1" collapsed="1">
      <c r="B1906" s="287"/>
      <c r="C1906" s="287"/>
    </row>
    <row r="1907" spans="1:5" ht="22.05" customHeight="1">
      <c r="A1907" s="201" t="s">
        <v>1565</v>
      </c>
      <c r="B1907" s="208"/>
      <c r="C1907" s="208"/>
    </row>
    <row r="1908" spans="1:5" ht="22.05" hidden="1" customHeight="1" outlineLevel="1">
      <c r="A1908" s="237"/>
    </row>
    <row r="1909" spans="1:5" ht="22.05" hidden="1" customHeight="1" outlineLevel="1">
      <c r="A1909" s="201"/>
      <c r="B1909" s="209"/>
      <c r="C1909" s="209"/>
      <c r="D1909" s="209"/>
      <c r="E1909" s="209"/>
    </row>
    <row r="1910" spans="1:5" ht="22.05" hidden="1" customHeight="1" outlineLevel="1">
      <c r="A1910" s="201" t="s">
        <v>1255</v>
      </c>
      <c r="B1910" s="209"/>
      <c r="C1910" s="209"/>
      <c r="D1910" s="209"/>
      <c r="E1910" s="209"/>
    </row>
    <row r="1911" spans="1:5" ht="22.05" hidden="1" customHeight="1" outlineLevel="1">
      <c r="A1911" s="210" t="s">
        <v>1256</v>
      </c>
      <c r="B1911" s="822" t="s">
        <v>1257</v>
      </c>
      <c r="C1911" s="822" t="s">
        <v>1258</v>
      </c>
      <c r="D1911" s="824" t="s">
        <v>1259</v>
      </c>
      <c r="E1911" s="825"/>
    </row>
    <row r="1912" spans="1:5" ht="22.05" hidden="1" customHeight="1" outlineLevel="1">
      <c r="A1912" s="211"/>
      <c r="B1912" s="823"/>
      <c r="C1912" s="823"/>
      <c r="D1912" s="788" t="s">
        <v>1260</v>
      </c>
      <c r="E1912" s="788" t="s">
        <v>1261</v>
      </c>
    </row>
    <row r="1913" spans="1:5" ht="22.05" hidden="1" customHeight="1" outlineLevel="1">
      <c r="A1913" s="212" t="s">
        <v>1566</v>
      </c>
      <c r="B1913" s="213">
        <v>0</v>
      </c>
      <c r="C1913" s="213">
        <f>C1952</f>
        <v>55905787</v>
      </c>
      <c r="D1913" s="213">
        <f>D1952</f>
        <v>61496365.700000003</v>
      </c>
      <c r="E1913" s="213">
        <f>E1952</f>
        <v>67646002.270000011</v>
      </c>
    </row>
    <row r="1914" spans="1:5" ht="22.05" hidden="1" customHeight="1" outlineLevel="1">
      <c r="A1914" s="212" t="s">
        <v>1567</v>
      </c>
      <c r="B1914" s="213">
        <v>0</v>
      </c>
      <c r="C1914" s="213">
        <f>C2015</f>
        <v>4734090</v>
      </c>
      <c r="D1914" s="213">
        <f>D2015</f>
        <v>5207499.0000000009</v>
      </c>
      <c r="E1914" s="213">
        <f>E2015</f>
        <v>5728248.9000000013</v>
      </c>
    </row>
    <row r="1915" spans="1:5" ht="22.05" hidden="1" customHeight="1" outlineLevel="1">
      <c r="A1915" s="214" t="s">
        <v>1568</v>
      </c>
      <c r="B1915" s="225">
        <v>0</v>
      </c>
      <c r="C1915" s="225">
        <f>C1913+C1914</f>
        <v>60639877</v>
      </c>
      <c r="D1915" s="225">
        <f>D1913+D1914</f>
        <v>66703864.700000003</v>
      </c>
      <c r="E1915" s="225">
        <f>E1913+E1914</f>
        <v>73374251.170000017</v>
      </c>
    </row>
    <row r="1916" spans="1:5" ht="22.05" hidden="1" customHeight="1" outlineLevel="1">
      <c r="A1916" s="212" t="s">
        <v>1569</v>
      </c>
      <c r="B1916" s="213">
        <v>0</v>
      </c>
      <c r="C1916" s="213">
        <f>C1966</f>
        <v>14057940</v>
      </c>
      <c r="D1916" s="213">
        <f>D1966</f>
        <v>15463734.000000002</v>
      </c>
      <c r="E1916" s="213">
        <f>E1966</f>
        <v>17010107.400000002</v>
      </c>
    </row>
    <row r="1917" spans="1:5" ht="22.05" hidden="1" customHeight="1" outlineLevel="1">
      <c r="A1917" s="214" t="s">
        <v>1570</v>
      </c>
      <c r="B1917" s="225">
        <v>0</v>
      </c>
      <c r="C1917" s="225">
        <f>C1916</f>
        <v>14057940</v>
      </c>
      <c r="D1917" s="225">
        <f>D1916</f>
        <v>15463734.000000002</v>
      </c>
      <c r="E1917" s="225">
        <f>E1916</f>
        <v>17010107.400000002</v>
      </c>
    </row>
    <row r="1918" spans="1:5" ht="22.05" hidden="1" customHeight="1" outlineLevel="1">
      <c r="A1918" s="212" t="s">
        <v>1571</v>
      </c>
      <c r="B1918" s="213">
        <v>0</v>
      </c>
      <c r="C1918" s="213">
        <f>C1979</f>
        <v>16649575</v>
      </c>
      <c r="D1918" s="213">
        <f>D1979</f>
        <v>18314532.5</v>
      </c>
      <c r="E1918" s="213">
        <f>E1979</f>
        <v>20145985.75</v>
      </c>
    </row>
    <row r="1919" spans="1:5" ht="22.05" hidden="1" customHeight="1" outlineLevel="1">
      <c r="A1919" s="212" t="s">
        <v>1572</v>
      </c>
      <c r="B1919" s="213">
        <v>0</v>
      </c>
      <c r="C1919" s="213">
        <f>C1991</f>
        <v>4180000</v>
      </c>
      <c r="D1919" s="213">
        <f>D1991</f>
        <v>748000.00000000012</v>
      </c>
      <c r="E1919" s="213">
        <f>E1991</f>
        <v>822800.00000000023</v>
      </c>
    </row>
    <row r="1920" spans="1:5" ht="22.05" hidden="1" customHeight="1" outlineLevel="1">
      <c r="A1920" s="212" t="s">
        <v>1573</v>
      </c>
      <c r="B1920" s="213">
        <v>0</v>
      </c>
      <c r="C1920" s="213">
        <f>C2003</f>
        <v>2180000</v>
      </c>
      <c r="D1920" s="213">
        <f>D2003</f>
        <v>2398000</v>
      </c>
      <c r="E1920" s="213">
        <f>E2003</f>
        <v>2637800</v>
      </c>
    </row>
    <row r="1921" spans="1:5" ht="22.05" hidden="1" customHeight="1" outlineLevel="1">
      <c r="A1921" s="214" t="s">
        <v>1574</v>
      </c>
      <c r="B1921" s="225">
        <v>0</v>
      </c>
      <c r="C1921" s="225">
        <f>SUM(C1918:C1920)</f>
        <v>23009575</v>
      </c>
      <c r="D1921" s="225">
        <f>SUM(D1918:D1920)</f>
        <v>21460532.5</v>
      </c>
      <c r="E1921" s="225">
        <f>SUM(E1918:E1920)</f>
        <v>23606585.75</v>
      </c>
    </row>
    <row r="1922" spans="1:5" ht="22.05" hidden="1" customHeight="1" outlineLevel="1">
      <c r="A1922" s="212" t="s">
        <v>1575</v>
      </c>
      <c r="B1922" s="213">
        <v>0</v>
      </c>
      <c r="C1922" s="213">
        <f>C2028</f>
        <v>26644625</v>
      </c>
      <c r="D1922" s="213">
        <f>D2028</f>
        <v>29309087.500000004</v>
      </c>
      <c r="E1922" s="213">
        <f>E2028</f>
        <v>32239996.250000007</v>
      </c>
    </row>
    <row r="1923" spans="1:5" ht="22.05" hidden="1" customHeight="1" outlineLevel="1">
      <c r="A1923" s="214" t="s">
        <v>1576</v>
      </c>
      <c r="B1923" s="225">
        <v>0</v>
      </c>
      <c r="C1923" s="225">
        <f>C1922</f>
        <v>26644625</v>
      </c>
      <c r="D1923" s="225">
        <f>D1922</f>
        <v>29309087.500000004</v>
      </c>
      <c r="E1923" s="225">
        <f>E1922</f>
        <v>32239996.250000007</v>
      </c>
    </row>
    <row r="1924" spans="1:5" ht="22.05" hidden="1" customHeight="1" outlineLevel="1">
      <c r="A1924" s="214" t="s">
        <v>1285</v>
      </c>
      <c r="B1924" s="225">
        <v>0</v>
      </c>
      <c r="C1924" s="225">
        <f>SUM(C1923+C1921+C1917+C1915)</f>
        <v>124352017</v>
      </c>
      <c r="D1924" s="225">
        <f>SUM(D1923+D1921+D1917+D1915)</f>
        <v>132937218.7</v>
      </c>
      <c r="E1924" s="225">
        <f>SUM(E1923+E1921+E1917+E1915)</f>
        <v>146230940.57000002</v>
      </c>
    </row>
    <row r="1925" spans="1:5" ht="22.05" hidden="1" customHeight="1" outlineLevel="1">
      <c r="A1925" s="237"/>
    </row>
    <row r="1926" spans="1:5" ht="22.05" hidden="1" customHeight="1" outlineLevel="1">
      <c r="A1926" s="237"/>
    </row>
    <row r="1927" spans="1:5" ht="22.05" hidden="1" customHeight="1" outlineLevel="1">
      <c r="A1927" s="288" t="s">
        <v>1323</v>
      </c>
      <c r="B1927" s="281"/>
      <c r="C1927" s="281"/>
      <c r="D1927" s="281"/>
      <c r="E1927" s="281"/>
    </row>
    <row r="1928" spans="1:5" ht="22.05" hidden="1" customHeight="1" outlineLevel="1">
      <c r="A1928" s="210" t="s">
        <v>1287</v>
      </c>
      <c r="B1928" s="822" t="s">
        <v>1257</v>
      </c>
      <c r="C1928" s="822" t="s">
        <v>1258</v>
      </c>
      <c r="D1928" s="824" t="s">
        <v>1259</v>
      </c>
      <c r="E1928" s="825"/>
    </row>
    <row r="1929" spans="1:5" ht="22.05" hidden="1" customHeight="1" outlineLevel="1">
      <c r="A1929" s="211"/>
      <c r="B1929" s="823"/>
      <c r="C1929" s="823"/>
      <c r="D1929" s="788" t="s">
        <v>1260</v>
      </c>
      <c r="E1929" s="788" t="s">
        <v>1261</v>
      </c>
    </row>
    <row r="1930" spans="1:5" ht="22.05" hidden="1" customHeight="1" outlineLevel="1">
      <c r="A1930" s="214" t="s">
        <v>1298</v>
      </c>
      <c r="B1930" s="225">
        <v>0</v>
      </c>
      <c r="C1930" s="225">
        <f>SUM(C1931:C1933)</f>
        <v>73086737</v>
      </c>
      <c r="D1930" s="225">
        <f>SUM(D1931:D1933)</f>
        <v>80395410.700000018</v>
      </c>
      <c r="E1930" s="225">
        <f>SUM(E1931:E1933)</f>
        <v>88434951.770000026</v>
      </c>
    </row>
    <row r="1931" spans="1:5" ht="22.05" hidden="1" customHeight="1" outlineLevel="1">
      <c r="A1931" s="212" t="s">
        <v>1288</v>
      </c>
      <c r="B1931" s="213">
        <v>0</v>
      </c>
      <c r="C1931" s="213">
        <f>C1946+C1960+C1973+C1985+C1997+C2009+C2022</f>
        <v>36853847</v>
      </c>
      <c r="D1931" s="213">
        <f t="shared" ref="C1931:E1936" si="760">D1946+D1960+D1973+D1985+D1997+D2009+D2022</f>
        <v>40539231.700000003</v>
      </c>
      <c r="E1931" s="213">
        <f t="shared" si="760"/>
        <v>44593154.870000012</v>
      </c>
    </row>
    <row r="1932" spans="1:5" ht="22.05" hidden="1" customHeight="1" outlineLevel="1">
      <c r="A1932" s="212" t="s">
        <v>1289</v>
      </c>
      <c r="B1932" s="213">
        <v>0</v>
      </c>
      <c r="C1932" s="213">
        <f t="shared" si="760"/>
        <v>36232890</v>
      </c>
      <c r="D1932" s="213">
        <f t="shared" si="760"/>
        <v>39856179.000000007</v>
      </c>
      <c r="E1932" s="213">
        <f t="shared" si="760"/>
        <v>43841796.900000013</v>
      </c>
    </row>
    <row r="1933" spans="1:5" ht="22.05" hidden="1" customHeight="1" outlineLevel="1">
      <c r="A1933" s="212" t="s">
        <v>1290</v>
      </c>
      <c r="B1933" s="213">
        <v>0</v>
      </c>
      <c r="C1933" s="213">
        <f t="shared" si="760"/>
        <v>0</v>
      </c>
      <c r="D1933" s="213">
        <f t="shared" si="760"/>
        <v>0</v>
      </c>
      <c r="E1933" s="213">
        <f t="shared" si="760"/>
        <v>0</v>
      </c>
    </row>
    <row r="1934" spans="1:5" ht="22.05" hidden="1" customHeight="1" outlineLevel="1">
      <c r="A1934" s="214" t="s">
        <v>1291</v>
      </c>
      <c r="B1934" s="225">
        <v>0</v>
      </c>
      <c r="C1934" s="225">
        <f t="shared" si="760"/>
        <v>51265280</v>
      </c>
      <c r="D1934" s="225">
        <f t="shared" si="760"/>
        <v>52541808</v>
      </c>
      <c r="E1934" s="225">
        <f t="shared" si="760"/>
        <v>57795988.800000012</v>
      </c>
    </row>
    <row r="1935" spans="1:5" ht="22.05" hidden="1" customHeight="1" outlineLevel="1">
      <c r="A1935" s="212" t="s">
        <v>1299</v>
      </c>
      <c r="B1935" s="213">
        <v>0</v>
      </c>
      <c r="C1935" s="213">
        <f t="shared" si="760"/>
        <v>51265280</v>
      </c>
      <c r="D1935" s="213">
        <f t="shared" si="760"/>
        <v>52541808</v>
      </c>
      <c r="E1935" s="213">
        <f t="shared" si="760"/>
        <v>57795988.800000012</v>
      </c>
    </row>
    <row r="1936" spans="1:5" ht="22.05" hidden="1" customHeight="1" outlineLevel="1">
      <c r="A1936" s="212" t="s">
        <v>1300</v>
      </c>
      <c r="B1936" s="213">
        <v>0</v>
      </c>
      <c r="C1936" s="213">
        <f t="shared" si="760"/>
        <v>0</v>
      </c>
      <c r="D1936" s="213">
        <f t="shared" si="760"/>
        <v>0</v>
      </c>
      <c r="E1936" s="213">
        <f t="shared" si="760"/>
        <v>0</v>
      </c>
    </row>
    <row r="1937" spans="1:5" ht="22.05" hidden="1" customHeight="1" outlineLevel="1">
      <c r="A1937" s="214" t="s">
        <v>1294</v>
      </c>
      <c r="B1937" s="225">
        <v>0</v>
      </c>
      <c r="C1937" s="225">
        <f>C1934+C1930</f>
        <v>124352017</v>
      </c>
      <c r="D1937" s="225">
        <f>D1934+D1930</f>
        <v>132937218.70000002</v>
      </c>
      <c r="E1937" s="225">
        <f>E1934+E1930</f>
        <v>146230940.57000005</v>
      </c>
    </row>
    <row r="1938" spans="1:5" ht="22.05" hidden="1" customHeight="1" outlineLevel="1">
      <c r="A1938" s="237"/>
    </row>
    <row r="1939" spans="1:5" ht="22.05" hidden="1" customHeight="1" outlineLevel="1">
      <c r="A1939" s="237"/>
    </row>
    <row r="1940" spans="1:5" ht="22.05" hidden="1" customHeight="1" outlineLevel="1">
      <c r="A1940" s="201" t="s">
        <v>1577</v>
      </c>
    </row>
    <row r="1941" spans="1:5" ht="22.05" hidden="1" customHeight="1" outlineLevel="1">
      <c r="A1941" s="201" t="s">
        <v>1578</v>
      </c>
    </row>
    <row r="1942" spans="1:5" ht="22.05" hidden="1" customHeight="1" outlineLevel="1">
      <c r="A1942" s="205" t="s">
        <v>1566</v>
      </c>
    </row>
    <row r="1943" spans="1:5" ht="22.05" hidden="1" customHeight="1" outlineLevel="1">
      <c r="A1943" s="210" t="s">
        <v>1287</v>
      </c>
      <c r="B1943" s="822" t="s">
        <v>1257</v>
      </c>
      <c r="C1943" s="822" t="s">
        <v>1258</v>
      </c>
      <c r="D1943" s="824" t="s">
        <v>1259</v>
      </c>
      <c r="E1943" s="825"/>
    </row>
    <row r="1944" spans="1:5" ht="22.05" hidden="1" customHeight="1" outlineLevel="1">
      <c r="A1944" s="211"/>
      <c r="B1944" s="823"/>
      <c r="C1944" s="823"/>
      <c r="D1944" s="788" t="s">
        <v>1260</v>
      </c>
      <c r="E1944" s="788" t="s">
        <v>1261</v>
      </c>
    </row>
    <row r="1945" spans="1:5" ht="22.05" hidden="1" customHeight="1" outlineLevel="1">
      <c r="A1945" s="214" t="s">
        <v>1298</v>
      </c>
      <c r="B1945" s="225">
        <v>0</v>
      </c>
      <c r="C1945" s="225">
        <f>SUM(C1946:C1948)</f>
        <v>52905787</v>
      </c>
      <c r="D1945" s="225">
        <f>SUM(D1946:D1948)</f>
        <v>58196365.700000003</v>
      </c>
      <c r="E1945" s="225">
        <f>SUM(E1946:E1948)</f>
        <v>64016002.270000011</v>
      </c>
    </row>
    <row r="1946" spans="1:5" ht="22.05" hidden="1" customHeight="1" outlineLevel="1">
      <c r="A1946" s="212" t="s">
        <v>1288</v>
      </c>
      <c r="B1946" s="213">
        <v>0</v>
      </c>
      <c r="C1946" s="213">
        <f>'Itemized Budget 2026-27'!E4357-'Itemized Budget 2026-27'!E4349</f>
        <v>26265887</v>
      </c>
      <c r="D1946" s="217">
        <f>C1946*1.1</f>
        <v>28892475.700000003</v>
      </c>
      <c r="E1946" s="217">
        <f>D1946*1.1</f>
        <v>31781723.270000007</v>
      </c>
    </row>
    <row r="1947" spans="1:5" ht="22.05" hidden="1" customHeight="1" outlineLevel="1">
      <c r="A1947" s="212" t="s">
        <v>1289</v>
      </c>
      <c r="B1947" s="213">
        <v>0</v>
      </c>
      <c r="C1947" s="213">
        <f>'Itemized Budget 2026-27'!E4349+'Itemized Budget 2026-27'!E4395</f>
        <v>26639900</v>
      </c>
      <c r="D1947" s="217">
        <f t="shared" ref="D1947:E1947" si="761">C1947*1.1</f>
        <v>29303890.000000004</v>
      </c>
      <c r="E1947" s="217">
        <f t="shared" si="761"/>
        <v>32234279.000000007</v>
      </c>
    </row>
    <row r="1948" spans="1:5" ht="22.05" hidden="1" customHeight="1" outlineLevel="1">
      <c r="A1948" s="212" t="s">
        <v>1290</v>
      </c>
      <c r="B1948" s="213">
        <v>0</v>
      </c>
      <c r="C1948" s="213">
        <v>0</v>
      </c>
      <c r="D1948" s="217">
        <f t="shared" ref="D1948:E1948" si="762">C1948*1.1</f>
        <v>0</v>
      </c>
      <c r="E1948" s="217">
        <f t="shared" si="762"/>
        <v>0</v>
      </c>
    </row>
    <row r="1949" spans="1:5" ht="22.05" hidden="1" customHeight="1" outlineLevel="1">
      <c r="A1949" s="214" t="s">
        <v>1291</v>
      </c>
      <c r="B1949" s="225">
        <v>0</v>
      </c>
      <c r="C1949" s="225">
        <f>SUM(C1950:C1951)</f>
        <v>3000000</v>
      </c>
      <c r="D1949" s="225">
        <f t="shared" ref="D1949:E1949" si="763">SUM(D1950:D1951)</f>
        <v>3300000.0000000005</v>
      </c>
      <c r="E1949" s="225">
        <f t="shared" si="763"/>
        <v>3630000.0000000009</v>
      </c>
    </row>
    <row r="1950" spans="1:5" ht="22.05" hidden="1" customHeight="1" outlineLevel="1">
      <c r="A1950" s="212" t="s">
        <v>1299</v>
      </c>
      <c r="B1950" s="213">
        <v>0</v>
      </c>
      <c r="C1950" s="213">
        <f>'Itemized Budget 2026-27'!E4401</f>
        <v>3000000</v>
      </c>
      <c r="D1950" s="217">
        <f t="shared" ref="D1950:E1950" si="764">C1950*1.1</f>
        <v>3300000.0000000005</v>
      </c>
      <c r="E1950" s="217">
        <f t="shared" si="764"/>
        <v>3630000.0000000009</v>
      </c>
    </row>
    <row r="1951" spans="1:5" ht="22.05" hidden="1" customHeight="1" outlineLevel="1">
      <c r="A1951" s="212" t="s">
        <v>1300</v>
      </c>
      <c r="B1951" s="213"/>
      <c r="C1951" s="213"/>
      <c r="D1951" s="217">
        <f t="shared" ref="D1951:E1951" si="765">C1951*1.1</f>
        <v>0</v>
      </c>
      <c r="E1951" s="217">
        <f t="shared" si="765"/>
        <v>0</v>
      </c>
    </row>
    <row r="1952" spans="1:5" ht="22.05" hidden="1" customHeight="1" outlineLevel="1">
      <c r="A1952" s="214" t="s">
        <v>1579</v>
      </c>
      <c r="B1952" s="225">
        <v>0</v>
      </c>
      <c r="C1952" s="225">
        <f>SUM(C1949+C1945)</f>
        <v>55905787</v>
      </c>
      <c r="D1952" s="225">
        <f>D1949+D1945</f>
        <v>61496365.700000003</v>
      </c>
      <c r="E1952" s="225">
        <f>E1949+E1945</f>
        <v>67646002.270000011</v>
      </c>
    </row>
    <row r="1953" spans="1:5" ht="22.05" hidden="1" customHeight="1" outlineLevel="1">
      <c r="A1953" s="235"/>
      <c r="B1953" s="236"/>
      <c r="C1953" s="236"/>
      <c r="D1953" s="236"/>
      <c r="E1953" s="236"/>
    </row>
    <row r="1954" spans="1:5" ht="22.05" hidden="1" customHeight="1" outlineLevel="1"/>
    <row r="1955" spans="1:5" ht="22.05" hidden="1" customHeight="1" outlineLevel="1">
      <c r="A1955" s="201" t="s">
        <v>1580</v>
      </c>
    </row>
    <row r="1956" spans="1:5" ht="22.05" hidden="1" customHeight="1" outlineLevel="1">
      <c r="A1956" s="201" t="s">
        <v>1581</v>
      </c>
    </row>
    <row r="1957" spans="1:5" ht="22.05" hidden="1" customHeight="1" outlineLevel="1">
      <c r="A1957" s="210" t="s">
        <v>1287</v>
      </c>
      <c r="B1957" s="822" t="s">
        <v>1257</v>
      </c>
      <c r="C1957" s="822" t="s">
        <v>1258</v>
      </c>
      <c r="D1957" s="824" t="s">
        <v>1259</v>
      </c>
      <c r="E1957" s="825"/>
    </row>
    <row r="1958" spans="1:5" ht="22.05" hidden="1" customHeight="1" outlineLevel="1">
      <c r="A1958" s="211"/>
      <c r="B1958" s="823"/>
      <c r="C1958" s="823"/>
      <c r="D1958" s="788" t="s">
        <v>1260</v>
      </c>
      <c r="E1958" s="788" t="s">
        <v>1261</v>
      </c>
    </row>
    <row r="1959" spans="1:5" ht="22.05" hidden="1" customHeight="1" outlineLevel="1">
      <c r="A1959" s="214" t="s">
        <v>1298</v>
      </c>
      <c r="B1959" s="225">
        <v>0</v>
      </c>
      <c r="C1959" s="225">
        <f>SUM(C1960:C1962)</f>
        <v>9057940</v>
      </c>
      <c r="D1959" s="225">
        <f>SUM(D1960:D1962)</f>
        <v>9963734.0000000019</v>
      </c>
      <c r="E1959" s="225">
        <f>SUM(E1960:E1962)</f>
        <v>10960107.400000002</v>
      </c>
    </row>
    <row r="1960" spans="1:5" ht="22.05" hidden="1" customHeight="1" outlineLevel="1">
      <c r="A1960" s="212" t="s">
        <v>1288</v>
      </c>
      <c r="B1960" s="213">
        <v>0</v>
      </c>
      <c r="C1960" s="213">
        <f>'Itemized Budget 2026-27'!E4414</f>
        <v>5976940</v>
      </c>
      <c r="D1960" s="217">
        <f t="shared" ref="D1960:E1960" si="766">C1960*1.1</f>
        <v>6574634.0000000009</v>
      </c>
      <c r="E1960" s="217">
        <f t="shared" si="766"/>
        <v>7232097.4000000013</v>
      </c>
    </row>
    <row r="1961" spans="1:5" ht="22.05" hidden="1" customHeight="1" outlineLevel="1">
      <c r="A1961" s="212" t="s">
        <v>1289</v>
      </c>
      <c r="B1961" s="213">
        <v>0</v>
      </c>
      <c r="C1961" s="213">
        <f>'Itemized Budget 2026-27'!E4436</f>
        <v>3081000</v>
      </c>
      <c r="D1961" s="217">
        <f t="shared" ref="D1961:E1961" si="767">C1961*1.1</f>
        <v>3389100.0000000005</v>
      </c>
      <c r="E1961" s="217">
        <f t="shared" si="767"/>
        <v>3728010.0000000009</v>
      </c>
    </row>
    <row r="1962" spans="1:5" ht="22.05" hidden="1" customHeight="1" outlineLevel="1">
      <c r="A1962" s="212" t="s">
        <v>1290</v>
      </c>
      <c r="B1962" s="213">
        <v>0</v>
      </c>
      <c r="C1962" s="213">
        <v>0</v>
      </c>
      <c r="D1962" s="217">
        <f t="shared" ref="D1962:E1962" si="768">C1962*1.1</f>
        <v>0</v>
      </c>
      <c r="E1962" s="217">
        <f t="shared" si="768"/>
        <v>0</v>
      </c>
    </row>
    <row r="1963" spans="1:5" ht="22.05" hidden="1" customHeight="1" outlineLevel="1">
      <c r="A1963" s="214" t="s">
        <v>1291</v>
      </c>
      <c r="B1963" s="225">
        <v>0</v>
      </c>
      <c r="C1963" s="225">
        <f>SUM(C1964:C1965)</f>
        <v>5000000</v>
      </c>
      <c r="D1963" s="225">
        <f t="shared" ref="D1963:E1963" si="769">SUM(D1964:D1965)</f>
        <v>5500000</v>
      </c>
      <c r="E1963" s="225">
        <f t="shared" si="769"/>
        <v>6050000.0000000009</v>
      </c>
    </row>
    <row r="1964" spans="1:5" ht="22.05" hidden="1" customHeight="1" outlineLevel="1">
      <c r="A1964" s="212" t="s">
        <v>1299</v>
      </c>
      <c r="B1964" s="213">
        <v>0</v>
      </c>
      <c r="C1964" s="213">
        <f>'Itemized Budget 2026-27'!E4445</f>
        <v>5000000</v>
      </c>
      <c r="D1964" s="217">
        <f t="shared" ref="D1964:E1964" si="770">C1964*1.1</f>
        <v>5500000</v>
      </c>
      <c r="E1964" s="217">
        <f t="shared" si="770"/>
        <v>6050000.0000000009</v>
      </c>
    </row>
    <row r="1965" spans="1:5" ht="22.05" hidden="1" customHeight="1" outlineLevel="1">
      <c r="A1965" s="212" t="s">
        <v>1300</v>
      </c>
      <c r="B1965" s="213">
        <v>0</v>
      </c>
      <c r="C1965" s="213">
        <v>0</v>
      </c>
      <c r="D1965" s="217">
        <f t="shared" ref="D1965:E1965" si="771">C1965*1.1</f>
        <v>0</v>
      </c>
      <c r="E1965" s="217">
        <f t="shared" si="771"/>
        <v>0</v>
      </c>
    </row>
    <row r="1966" spans="1:5" ht="22.05" hidden="1" customHeight="1" outlineLevel="1">
      <c r="A1966" s="214" t="s">
        <v>1579</v>
      </c>
      <c r="B1966" s="225">
        <v>0</v>
      </c>
      <c r="C1966" s="225">
        <f>SUM(C1963+C1959)</f>
        <v>14057940</v>
      </c>
      <c r="D1966" s="225">
        <f>SUM(D1963+D1959)</f>
        <v>15463734.000000002</v>
      </c>
      <c r="E1966" s="225">
        <f>SUM(E1963+E1959)</f>
        <v>17010107.400000002</v>
      </c>
    </row>
    <row r="1967" spans="1:5" ht="22.05" hidden="1" customHeight="1" outlineLevel="1"/>
    <row r="1968" spans="1:5" ht="22.05" hidden="1" customHeight="1" outlineLevel="1">
      <c r="A1968" s="201" t="s">
        <v>1582</v>
      </c>
    </row>
    <row r="1969" spans="1:5" ht="22.05" hidden="1" customHeight="1" outlineLevel="1">
      <c r="A1969" s="205" t="s">
        <v>1571</v>
      </c>
    </row>
    <row r="1970" spans="1:5" ht="22.05" hidden="1" customHeight="1" outlineLevel="1">
      <c r="A1970" s="210" t="s">
        <v>1287</v>
      </c>
      <c r="B1970" s="822" t="s">
        <v>1257</v>
      </c>
      <c r="C1970" s="822" t="s">
        <v>1258</v>
      </c>
      <c r="D1970" s="824" t="s">
        <v>1259</v>
      </c>
      <c r="E1970" s="825"/>
    </row>
    <row r="1971" spans="1:5" ht="22.05" hidden="1" customHeight="1" outlineLevel="1">
      <c r="A1971" s="211"/>
      <c r="B1971" s="823"/>
      <c r="C1971" s="823"/>
      <c r="D1971" s="788" t="s">
        <v>1260</v>
      </c>
      <c r="E1971" s="788" t="s">
        <v>1261</v>
      </c>
    </row>
    <row r="1972" spans="1:5" ht="22.05" hidden="1" customHeight="1" outlineLevel="1">
      <c r="A1972" s="214" t="s">
        <v>1298</v>
      </c>
      <c r="B1972" s="225">
        <v>0</v>
      </c>
      <c r="C1972" s="225">
        <f>SUM(C1973:C1975)</f>
        <v>7649575</v>
      </c>
      <c r="D1972" s="225">
        <f>SUM(D1973:D1975)</f>
        <v>8414532.5</v>
      </c>
      <c r="E1972" s="225">
        <f>SUM(E1973:E1975)</f>
        <v>9255985.75</v>
      </c>
    </row>
    <row r="1973" spans="1:5" ht="22.05" hidden="1" customHeight="1" outlineLevel="1">
      <c r="A1973" s="212" t="s">
        <v>1288</v>
      </c>
      <c r="B1973" s="213">
        <v>0</v>
      </c>
      <c r="C1973" s="213">
        <f>'Itemized Budget 2026-27'!E4458</f>
        <v>4611020</v>
      </c>
      <c r="D1973" s="217">
        <f t="shared" ref="D1973:E1973" si="772">C1973*1.1</f>
        <v>5072122</v>
      </c>
      <c r="E1973" s="217">
        <f t="shared" si="772"/>
        <v>5579334.2000000002</v>
      </c>
    </row>
    <row r="1974" spans="1:5" ht="22.05" hidden="1" customHeight="1" outlineLevel="1">
      <c r="A1974" s="212" t="s">
        <v>1289</v>
      </c>
      <c r="B1974" s="213">
        <v>0</v>
      </c>
      <c r="C1974" s="213">
        <f>'Itemized Budget 2026-27'!E4480</f>
        <v>3038555</v>
      </c>
      <c r="D1974" s="217">
        <f t="shared" ref="D1974:E1974" si="773">C1974*1.1</f>
        <v>3342410.5000000005</v>
      </c>
      <c r="E1974" s="217">
        <f t="shared" si="773"/>
        <v>3676651.5500000007</v>
      </c>
    </row>
    <row r="1975" spans="1:5" ht="22.05" hidden="1" customHeight="1" outlineLevel="1">
      <c r="A1975" s="212" t="s">
        <v>1290</v>
      </c>
      <c r="B1975" s="213"/>
      <c r="C1975" s="213"/>
      <c r="D1975" s="217">
        <f t="shared" ref="D1975:E1975" si="774">C1975*1.1</f>
        <v>0</v>
      </c>
      <c r="E1975" s="217">
        <f t="shared" si="774"/>
        <v>0</v>
      </c>
    </row>
    <row r="1976" spans="1:5" ht="22.05" hidden="1" customHeight="1" outlineLevel="1">
      <c r="A1976" s="214" t="s">
        <v>1291</v>
      </c>
      <c r="B1976" s="225">
        <v>0</v>
      </c>
      <c r="C1976" s="225">
        <f>SUM(C1977:C1978)</f>
        <v>9000000</v>
      </c>
      <c r="D1976" s="225">
        <f t="shared" ref="D1976:E1976" si="775">SUM(D1977:D1978)</f>
        <v>9900000</v>
      </c>
      <c r="E1976" s="225">
        <f t="shared" si="775"/>
        <v>10890000</v>
      </c>
    </row>
    <row r="1977" spans="1:5" ht="22.05" hidden="1" customHeight="1" outlineLevel="1">
      <c r="A1977" s="212" t="s">
        <v>1299</v>
      </c>
      <c r="B1977" s="213">
        <v>0</v>
      </c>
      <c r="C1977" s="213">
        <f>'Itemized Budget 2026-27'!E4489</f>
        <v>9000000</v>
      </c>
      <c r="D1977" s="217">
        <f t="shared" ref="D1977:E1977" si="776">C1977*1.1</f>
        <v>9900000</v>
      </c>
      <c r="E1977" s="217">
        <f t="shared" si="776"/>
        <v>10890000</v>
      </c>
    </row>
    <row r="1978" spans="1:5" ht="22.05" hidden="1" customHeight="1" outlineLevel="1">
      <c r="A1978" s="212" t="s">
        <v>1300</v>
      </c>
      <c r="B1978" s="213">
        <v>0</v>
      </c>
      <c r="C1978" s="213">
        <v>0</v>
      </c>
      <c r="D1978" s="217">
        <f t="shared" ref="D1978:E1978" si="777">C1978*1.1</f>
        <v>0</v>
      </c>
      <c r="E1978" s="217">
        <f t="shared" si="777"/>
        <v>0</v>
      </c>
    </row>
    <row r="1979" spans="1:5" ht="22.05" hidden="1" customHeight="1" outlineLevel="1">
      <c r="A1979" s="214" t="s">
        <v>1579</v>
      </c>
      <c r="B1979" s="225">
        <v>0</v>
      </c>
      <c r="C1979" s="225">
        <f>C1976+C1972</f>
        <v>16649575</v>
      </c>
      <c r="D1979" s="225">
        <f>D1976+D1972</f>
        <v>18314532.5</v>
      </c>
      <c r="E1979" s="225">
        <f>E1976+E1972</f>
        <v>20145985.75</v>
      </c>
    </row>
    <row r="1980" spans="1:5" ht="22.05" hidden="1" customHeight="1" outlineLevel="1"/>
    <row r="1981" spans="1:5" ht="22.05" hidden="1" customHeight="1" outlineLevel="1">
      <c r="A1981" s="201" t="s">
        <v>1572</v>
      </c>
    </row>
    <row r="1982" spans="1:5" ht="22.05" hidden="1" customHeight="1" outlineLevel="1">
      <c r="A1982" s="210" t="s">
        <v>1287</v>
      </c>
      <c r="B1982" s="822" t="s">
        <v>1257</v>
      </c>
      <c r="C1982" s="822" t="s">
        <v>1258</v>
      </c>
      <c r="D1982" s="824" t="s">
        <v>1259</v>
      </c>
      <c r="E1982" s="825"/>
    </row>
    <row r="1983" spans="1:5" ht="22.05" hidden="1" customHeight="1" outlineLevel="1">
      <c r="A1983" s="211"/>
      <c r="B1983" s="823"/>
      <c r="C1983" s="823"/>
      <c r="D1983" s="788" t="s">
        <v>1260</v>
      </c>
      <c r="E1983" s="788" t="s">
        <v>1261</v>
      </c>
    </row>
    <row r="1984" spans="1:5" ht="22.05" hidden="1" customHeight="1" outlineLevel="1">
      <c r="A1984" s="214" t="s">
        <v>1298</v>
      </c>
      <c r="B1984" s="277">
        <v>0</v>
      </c>
      <c r="C1984" s="277">
        <f>SUM(C1985:C1987)</f>
        <v>680000</v>
      </c>
      <c r="D1984" s="277">
        <f>SUM(D1985:D1987)</f>
        <v>748000.00000000012</v>
      </c>
      <c r="E1984" s="277">
        <f>SUM(E1985:E1987)</f>
        <v>822800.00000000023</v>
      </c>
    </row>
    <row r="1985" spans="1:5" ht="22.05" hidden="1" customHeight="1" outlineLevel="1">
      <c r="A1985" s="212" t="s">
        <v>1288</v>
      </c>
      <c r="B1985" s="279"/>
      <c r="C1985" s="279"/>
      <c r="D1985" s="217">
        <f t="shared" ref="D1985:E1985" si="778">C1985*1.1</f>
        <v>0</v>
      </c>
      <c r="E1985" s="217">
        <f t="shared" si="778"/>
        <v>0</v>
      </c>
    </row>
    <row r="1986" spans="1:5" ht="22.05" hidden="1" customHeight="1" outlineLevel="1">
      <c r="A1986" s="212" t="s">
        <v>1289</v>
      </c>
      <c r="B1986" s="213">
        <v>0</v>
      </c>
      <c r="C1986" s="213">
        <f>'Itemized Budget 2026-27'!E4503</f>
        <v>680000</v>
      </c>
      <c r="D1986" s="217">
        <f t="shared" ref="D1986:E1986" si="779">C1986*1.1</f>
        <v>748000.00000000012</v>
      </c>
      <c r="E1986" s="217">
        <f t="shared" si="779"/>
        <v>822800.00000000023</v>
      </c>
    </row>
    <row r="1987" spans="1:5" ht="22.05" hidden="1" customHeight="1" outlineLevel="1">
      <c r="A1987" s="212" t="s">
        <v>1290</v>
      </c>
      <c r="B1987" s="213">
        <v>0</v>
      </c>
      <c r="C1987" s="213">
        <v>0</v>
      </c>
      <c r="D1987" s="217">
        <f t="shared" ref="D1987:E1987" si="780">C1987*1.1</f>
        <v>0</v>
      </c>
      <c r="E1987" s="217">
        <f t="shared" si="780"/>
        <v>0</v>
      </c>
    </row>
    <row r="1988" spans="1:5" ht="22.05" hidden="1" customHeight="1" outlineLevel="1">
      <c r="A1988" s="214" t="s">
        <v>1291</v>
      </c>
      <c r="B1988" s="225">
        <v>0</v>
      </c>
      <c r="C1988" s="225">
        <f>SUM(C1989:C1990)</f>
        <v>3500000</v>
      </c>
      <c r="D1988" s="225">
        <f t="shared" ref="D1988:E1988" si="781">SUM(D1989:D1990)</f>
        <v>0</v>
      </c>
      <c r="E1988" s="225">
        <f t="shared" si="781"/>
        <v>0</v>
      </c>
    </row>
    <row r="1989" spans="1:5" ht="22.05" hidden="1" customHeight="1" outlineLevel="1">
      <c r="A1989" s="212" t="s">
        <v>1299</v>
      </c>
      <c r="B1989" s="213">
        <v>0</v>
      </c>
      <c r="C1989" s="213">
        <f>'Itemized Budget 2026-27'!E4508</f>
        <v>3500000</v>
      </c>
      <c r="D1989" s="217"/>
      <c r="E1989" s="217"/>
    </row>
    <row r="1990" spans="1:5" ht="22.05" hidden="1" customHeight="1" outlineLevel="1">
      <c r="A1990" s="212" t="s">
        <v>1300</v>
      </c>
      <c r="B1990" s="213">
        <v>0</v>
      </c>
      <c r="C1990" s="213">
        <v>0</v>
      </c>
      <c r="D1990" s="217">
        <f t="shared" ref="D1990:E1990" si="782">C1990*1.1</f>
        <v>0</v>
      </c>
      <c r="E1990" s="217">
        <f t="shared" si="782"/>
        <v>0</v>
      </c>
    </row>
    <row r="1991" spans="1:5" ht="22.05" hidden="1" customHeight="1" outlineLevel="1">
      <c r="A1991" s="214" t="s">
        <v>1579</v>
      </c>
      <c r="B1991" s="225">
        <v>0</v>
      </c>
      <c r="C1991" s="225">
        <f>SUM(C1988+C1984)</f>
        <v>4180000</v>
      </c>
      <c r="D1991" s="225">
        <f>D1988+D1984</f>
        <v>748000.00000000012</v>
      </c>
      <c r="E1991" s="225">
        <f>E1988+E1984</f>
        <v>822800.00000000023</v>
      </c>
    </row>
    <row r="1992" spans="1:5" ht="22.05" hidden="1" customHeight="1" outlineLevel="1"/>
    <row r="1993" spans="1:5" ht="22.05" hidden="1" customHeight="1" outlineLevel="1">
      <c r="A1993" s="205" t="s">
        <v>1573</v>
      </c>
    </row>
    <row r="1994" spans="1:5" ht="22.05" hidden="1" customHeight="1" outlineLevel="1">
      <c r="A1994" s="210" t="s">
        <v>1287</v>
      </c>
      <c r="B1994" s="822" t="s">
        <v>1257</v>
      </c>
      <c r="C1994" s="822" t="s">
        <v>1258</v>
      </c>
      <c r="D1994" s="824" t="s">
        <v>1259</v>
      </c>
      <c r="E1994" s="825"/>
    </row>
    <row r="1995" spans="1:5" ht="22.05" hidden="1" customHeight="1" outlineLevel="1">
      <c r="A1995" s="211"/>
      <c r="B1995" s="823"/>
      <c r="C1995" s="823"/>
      <c r="D1995" s="788" t="s">
        <v>1260</v>
      </c>
      <c r="E1995" s="788" t="s">
        <v>1261</v>
      </c>
    </row>
    <row r="1996" spans="1:5" ht="22.05" hidden="1" customHeight="1" outlineLevel="1">
      <c r="A1996" s="214" t="s">
        <v>1298</v>
      </c>
      <c r="B1996" s="225">
        <v>0</v>
      </c>
      <c r="C1996" s="225">
        <f>SUM(C1997:C1999)</f>
        <v>180000</v>
      </c>
      <c r="D1996" s="225">
        <f>SUM(D1997:D1999)</f>
        <v>198000.00000000003</v>
      </c>
      <c r="E1996" s="225">
        <f>SUM(E1997:E1999)</f>
        <v>217800.00000000006</v>
      </c>
    </row>
    <row r="1997" spans="1:5" ht="22.05" hidden="1" customHeight="1" outlineLevel="1">
      <c r="A1997" s="212" t="s">
        <v>1288</v>
      </c>
      <c r="B1997" s="213"/>
      <c r="C1997" s="213"/>
      <c r="D1997" s="217">
        <f t="shared" ref="D1997:E1997" si="783">C1997*1.1</f>
        <v>0</v>
      </c>
      <c r="E1997" s="217">
        <f t="shared" si="783"/>
        <v>0</v>
      </c>
    </row>
    <row r="1998" spans="1:5" ht="22.05" hidden="1" customHeight="1" outlineLevel="1">
      <c r="A1998" s="212" t="s">
        <v>1289</v>
      </c>
      <c r="B1998" s="213">
        <v>0</v>
      </c>
      <c r="C1998" s="213">
        <f>'Itemized Budget 2026-27'!E4517</f>
        <v>180000</v>
      </c>
      <c r="D1998" s="217">
        <f t="shared" ref="D1998:E1998" si="784">C1998*1.1</f>
        <v>198000.00000000003</v>
      </c>
      <c r="E1998" s="217">
        <f t="shared" si="784"/>
        <v>217800.00000000006</v>
      </c>
    </row>
    <row r="1999" spans="1:5" ht="22.05" hidden="1" customHeight="1" outlineLevel="1">
      <c r="A1999" s="212" t="s">
        <v>1290</v>
      </c>
      <c r="B1999" s="279">
        <v>0</v>
      </c>
      <c r="C1999" s="279">
        <v>0</v>
      </c>
      <c r="D1999" s="217">
        <f t="shared" ref="D1999:E1999" si="785">C1999*1.1</f>
        <v>0</v>
      </c>
      <c r="E1999" s="217">
        <f t="shared" si="785"/>
        <v>0</v>
      </c>
    </row>
    <row r="2000" spans="1:5" ht="22.05" hidden="1" customHeight="1" outlineLevel="1">
      <c r="A2000" s="214" t="s">
        <v>1291</v>
      </c>
      <c r="B2000" s="277">
        <v>0</v>
      </c>
      <c r="C2000" s="277">
        <f>SUM(C2001:C2002)</f>
        <v>2000000</v>
      </c>
      <c r="D2000" s="277">
        <f t="shared" ref="D2000:E2000" si="786">SUM(D2001:D2002)</f>
        <v>2200000</v>
      </c>
      <c r="E2000" s="277">
        <f t="shared" si="786"/>
        <v>2420000</v>
      </c>
    </row>
    <row r="2001" spans="1:5" ht="22.05" hidden="1" customHeight="1" outlineLevel="1">
      <c r="A2001" s="212" t="s">
        <v>1299</v>
      </c>
      <c r="B2001" s="213">
        <v>0</v>
      </c>
      <c r="C2001" s="213">
        <f>'Itemized Budget 2026-27'!E4522</f>
        <v>2000000</v>
      </c>
      <c r="D2001" s="217">
        <f t="shared" ref="D2001:E2001" si="787">C2001*1.1</f>
        <v>2200000</v>
      </c>
      <c r="E2001" s="217">
        <f t="shared" si="787"/>
        <v>2420000</v>
      </c>
    </row>
    <row r="2002" spans="1:5" ht="22.05" hidden="1" customHeight="1" outlineLevel="1">
      <c r="A2002" s="212" t="s">
        <v>1300</v>
      </c>
      <c r="B2002" s="213">
        <v>0</v>
      </c>
      <c r="C2002" s="213">
        <v>0</v>
      </c>
      <c r="D2002" s="217">
        <f t="shared" ref="D2002:E2002" si="788">C2002*1.1</f>
        <v>0</v>
      </c>
      <c r="E2002" s="217">
        <f t="shared" si="788"/>
        <v>0</v>
      </c>
    </row>
    <row r="2003" spans="1:5" ht="22.05" hidden="1" customHeight="1" outlineLevel="1">
      <c r="A2003" s="214" t="s">
        <v>1579</v>
      </c>
      <c r="B2003" s="225">
        <v>0</v>
      </c>
      <c r="C2003" s="225">
        <f>SUM(C2000+C1996)</f>
        <v>2180000</v>
      </c>
      <c r="D2003" s="225">
        <f>SUM(D2000+D1996)</f>
        <v>2398000</v>
      </c>
      <c r="E2003" s="225">
        <f>SUM(E2000+E1996)</f>
        <v>2637800</v>
      </c>
    </row>
    <row r="2004" spans="1:5" ht="22.05" hidden="1" customHeight="1" outlineLevel="1"/>
    <row r="2005" spans="1:5" ht="22.05" hidden="1" customHeight="1" outlineLevel="1">
      <c r="A2005" s="201" t="s">
        <v>1583</v>
      </c>
    </row>
    <row r="2006" spans="1:5" ht="22.05" hidden="1" customHeight="1" outlineLevel="1">
      <c r="A2006" s="210" t="s">
        <v>1287</v>
      </c>
      <c r="B2006" s="822" t="s">
        <v>1257</v>
      </c>
      <c r="C2006" s="822" t="s">
        <v>1258</v>
      </c>
      <c r="D2006" s="824" t="s">
        <v>1259</v>
      </c>
      <c r="E2006" s="825"/>
    </row>
    <row r="2007" spans="1:5" ht="22.05" hidden="1" customHeight="1" outlineLevel="1">
      <c r="A2007" s="211"/>
      <c r="B2007" s="823"/>
      <c r="C2007" s="823"/>
      <c r="D2007" s="788" t="s">
        <v>1260</v>
      </c>
      <c r="E2007" s="788" t="s">
        <v>1261</v>
      </c>
    </row>
    <row r="2008" spans="1:5" ht="22.05" hidden="1" customHeight="1" outlineLevel="1">
      <c r="A2008" s="214" t="s">
        <v>1298</v>
      </c>
      <c r="B2008" s="225">
        <v>0</v>
      </c>
      <c r="C2008" s="225">
        <f>SUM(C2009:C2011)</f>
        <v>1734090</v>
      </c>
      <c r="D2008" s="225">
        <f>SUM(D2009:D2011)</f>
        <v>1907499.0000000002</v>
      </c>
      <c r="E2008" s="225">
        <f>SUM(E2009:E2011)</f>
        <v>2098248.9000000004</v>
      </c>
    </row>
    <row r="2009" spans="1:5" ht="22.05" hidden="1" customHeight="1" outlineLevel="1">
      <c r="A2009" s="212" t="s">
        <v>1288</v>
      </c>
      <c r="B2009" s="213"/>
      <c r="C2009" s="213"/>
      <c r="D2009" s="217">
        <f t="shared" ref="D2009:E2009" si="789">C2009*1.1</f>
        <v>0</v>
      </c>
      <c r="E2009" s="217">
        <f t="shared" si="789"/>
        <v>0</v>
      </c>
    </row>
    <row r="2010" spans="1:5" ht="22.05" hidden="1" customHeight="1" outlineLevel="1">
      <c r="A2010" s="212" t="s">
        <v>1289</v>
      </c>
      <c r="B2010" s="213">
        <v>0</v>
      </c>
      <c r="C2010" s="213">
        <f>'Itemized Budget 2026-27'!E4543</f>
        <v>1734090</v>
      </c>
      <c r="D2010" s="217">
        <f t="shared" ref="D2010:E2010" si="790">C2010*1.1</f>
        <v>1907499.0000000002</v>
      </c>
      <c r="E2010" s="217">
        <f t="shared" si="790"/>
        <v>2098248.9000000004</v>
      </c>
    </row>
    <row r="2011" spans="1:5" ht="22.05" hidden="1" customHeight="1" outlineLevel="1">
      <c r="A2011" s="212" t="s">
        <v>1290</v>
      </c>
      <c r="B2011" s="213">
        <v>0</v>
      </c>
      <c r="C2011" s="213">
        <v>0</v>
      </c>
      <c r="D2011" s="217">
        <f t="shared" ref="D2011:E2011" si="791">C2011*1.1</f>
        <v>0</v>
      </c>
      <c r="E2011" s="217">
        <f t="shared" si="791"/>
        <v>0</v>
      </c>
    </row>
    <row r="2012" spans="1:5" ht="22.05" hidden="1" customHeight="1" outlineLevel="1">
      <c r="A2012" s="214" t="s">
        <v>1291</v>
      </c>
      <c r="B2012" s="225">
        <v>0</v>
      </c>
      <c r="C2012" s="225">
        <f>SUM(C2013:C2014)</f>
        <v>3000000</v>
      </c>
      <c r="D2012" s="225">
        <f t="shared" ref="D2012:E2012" si="792">SUM(D2013:D2014)</f>
        <v>3300000.0000000005</v>
      </c>
      <c r="E2012" s="225">
        <f t="shared" si="792"/>
        <v>3630000.0000000009</v>
      </c>
    </row>
    <row r="2013" spans="1:5" ht="22.05" hidden="1" customHeight="1" outlineLevel="1">
      <c r="A2013" s="212" t="s">
        <v>1299</v>
      </c>
      <c r="B2013" s="213">
        <v>0</v>
      </c>
      <c r="C2013" s="213">
        <f>'Itemized Budget 2026-27'!E4549</f>
        <v>3000000</v>
      </c>
      <c r="D2013" s="217">
        <f t="shared" ref="D2013:E2013" si="793">C2013*1.1</f>
        <v>3300000.0000000005</v>
      </c>
      <c r="E2013" s="217">
        <f t="shared" si="793"/>
        <v>3630000.0000000009</v>
      </c>
    </row>
    <row r="2014" spans="1:5" ht="22.05" hidden="1" customHeight="1" outlineLevel="1">
      <c r="A2014" s="212" t="s">
        <v>1300</v>
      </c>
      <c r="B2014" s="213">
        <v>0</v>
      </c>
      <c r="C2014" s="213">
        <v>0</v>
      </c>
      <c r="D2014" s="217">
        <f t="shared" ref="D2014:E2014" si="794">C2014*1.1</f>
        <v>0</v>
      </c>
      <c r="E2014" s="217">
        <f t="shared" si="794"/>
        <v>0</v>
      </c>
    </row>
    <row r="2015" spans="1:5" ht="22.05" hidden="1" customHeight="1" outlineLevel="1">
      <c r="A2015" s="214" t="s">
        <v>1579</v>
      </c>
      <c r="B2015" s="225">
        <v>0</v>
      </c>
      <c r="C2015" s="225">
        <f>SUM(C2012+C2008)</f>
        <v>4734090</v>
      </c>
      <c r="D2015" s="225">
        <f>SUM(D2012+D2008)</f>
        <v>5207499.0000000009</v>
      </c>
      <c r="E2015" s="225">
        <f>SUM(E2012+E2008)</f>
        <v>5728248.9000000013</v>
      </c>
    </row>
    <row r="2016" spans="1:5" ht="22.05" hidden="1" customHeight="1" outlineLevel="1">
      <c r="A2016" s="235"/>
      <c r="B2016" s="236"/>
      <c r="C2016" s="236"/>
      <c r="D2016" s="236"/>
      <c r="E2016" s="236"/>
    </row>
    <row r="2017" spans="1:5" ht="22.05" hidden="1" customHeight="1" outlineLevel="1">
      <c r="A2017" s="201" t="s">
        <v>1584</v>
      </c>
    </row>
    <row r="2018" spans="1:5" ht="22.05" hidden="1" customHeight="1" outlineLevel="1">
      <c r="A2018" s="205" t="s">
        <v>1585</v>
      </c>
    </row>
    <row r="2019" spans="1:5" ht="22.05" hidden="1" customHeight="1" outlineLevel="1">
      <c r="A2019" s="210" t="s">
        <v>1287</v>
      </c>
      <c r="B2019" s="822" t="s">
        <v>1257</v>
      </c>
      <c r="C2019" s="822" t="s">
        <v>1258</v>
      </c>
      <c r="D2019" s="824" t="s">
        <v>1259</v>
      </c>
      <c r="E2019" s="825"/>
    </row>
    <row r="2020" spans="1:5" ht="22.05" hidden="1" customHeight="1" outlineLevel="1">
      <c r="A2020" s="211"/>
      <c r="B2020" s="823"/>
      <c r="C2020" s="823"/>
      <c r="D2020" s="788" t="s">
        <v>1260</v>
      </c>
      <c r="E2020" s="788" t="s">
        <v>1261</v>
      </c>
    </row>
    <row r="2021" spans="1:5" ht="22.05" hidden="1" customHeight="1" outlineLevel="1">
      <c r="A2021" s="214" t="s">
        <v>1298</v>
      </c>
      <c r="B2021" s="225">
        <v>0</v>
      </c>
      <c r="C2021" s="225">
        <f>SUM(C2022:C2024)</f>
        <v>879345</v>
      </c>
      <c r="D2021" s="225">
        <f>SUM(D2022:D2024)</f>
        <v>967279.50000000012</v>
      </c>
      <c r="E2021" s="225">
        <f>SUM(E2022:E2024)</f>
        <v>1064007.4500000002</v>
      </c>
    </row>
    <row r="2022" spans="1:5" ht="22.05" hidden="1" customHeight="1" outlineLevel="1">
      <c r="A2022" s="212" t="s">
        <v>1288</v>
      </c>
      <c r="B2022" s="213"/>
      <c r="C2022" s="213"/>
      <c r="D2022" s="217">
        <f t="shared" ref="D2022:E2022" si="795">C2022*1.1</f>
        <v>0</v>
      </c>
      <c r="E2022" s="217">
        <f t="shared" si="795"/>
        <v>0</v>
      </c>
    </row>
    <row r="2023" spans="1:5" ht="22.05" hidden="1" customHeight="1" outlineLevel="1">
      <c r="A2023" s="212" t="s">
        <v>1289</v>
      </c>
      <c r="B2023" s="213">
        <v>0</v>
      </c>
      <c r="C2023" s="213">
        <f>'Itemized Budget 2026-27'!E4568</f>
        <v>879345</v>
      </c>
      <c r="D2023" s="217">
        <f t="shared" ref="D2023:E2023" si="796">C2023*1.1</f>
        <v>967279.50000000012</v>
      </c>
      <c r="E2023" s="217">
        <f t="shared" si="796"/>
        <v>1064007.4500000002</v>
      </c>
    </row>
    <row r="2024" spans="1:5" ht="22.05" hidden="1" customHeight="1" outlineLevel="1">
      <c r="A2024" s="212" t="s">
        <v>1290</v>
      </c>
      <c r="B2024" s="213">
        <v>0</v>
      </c>
      <c r="C2024" s="213">
        <v>0</v>
      </c>
      <c r="D2024" s="217">
        <f t="shared" ref="D2024:E2024" si="797">C2024*1.1</f>
        <v>0</v>
      </c>
      <c r="E2024" s="217">
        <f t="shared" si="797"/>
        <v>0</v>
      </c>
    </row>
    <row r="2025" spans="1:5" ht="22.05" hidden="1" customHeight="1" outlineLevel="1">
      <c r="A2025" s="214" t="s">
        <v>1291</v>
      </c>
      <c r="B2025" s="225">
        <v>0</v>
      </c>
      <c r="C2025" s="225">
        <f>SUM(C2026:C2027)</f>
        <v>25765280</v>
      </c>
      <c r="D2025" s="225">
        <f t="shared" ref="D2025:E2025" si="798">SUM(D2026:D2027)</f>
        <v>28341808.000000004</v>
      </c>
      <c r="E2025" s="225">
        <f t="shared" si="798"/>
        <v>31175988.800000008</v>
      </c>
    </row>
    <row r="2026" spans="1:5" ht="22.05" hidden="1" customHeight="1" outlineLevel="1">
      <c r="A2026" s="212" t="s">
        <v>1299</v>
      </c>
      <c r="B2026" s="213">
        <v>0</v>
      </c>
      <c r="C2026" s="213">
        <f>'Itemized Budget 2026-27'!E4575</f>
        <v>25765280</v>
      </c>
      <c r="D2026" s="217">
        <f t="shared" ref="D2026:E2026" si="799">C2026*1.1</f>
        <v>28341808.000000004</v>
      </c>
      <c r="E2026" s="217">
        <f t="shared" si="799"/>
        <v>31175988.800000008</v>
      </c>
    </row>
    <row r="2027" spans="1:5" ht="22.05" hidden="1" customHeight="1" outlineLevel="1">
      <c r="A2027" s="212" t="s">
        <v>1300</v>
      </c>
      <c r="B2027" s="213"/>
      <c r="C2027" s="213"/>
      <c r="D2027" s="217">
        <f t="shared" ref="D2027:E2027" si="800">C2027*1.1</f>
        <v>0</v>
      </c>
      <c r="E2027" s="217">
        <f t="shared" si="800"/>
        <v>0</v>
      </c>
    </row>
    <row r="2028" spans="1:5" ht="22.05" hidden="1" customHeight="1" outlineLevel="1">
      <c r="A2028" s="214" t="s">
        <v>1579</v>
      </c>
      <c r="B2028" s="225">
        <v>0</v>
      </c>
      <c r="C2028" s="225">
        <f>SUM(C2025+C2021)</f>
        <v>26644625</v>
      </c>
      <c r="D2028" s="225">
        <f>SUM(D2025+D2021)</f>
        <v>29309087.500000004</v>
      </c>
      <c r="E2028" s="225">
        <f>SUM(E2025+E2021)</f>
        <v>32239996.250000007</v>
      </c>
    </row>
    <row r="2029" spans="1:5" ht="22.05" hidden="1" customHeight="1" outlineLevel="1">
      <c r="A2029" s="237"/>
    </row>
    <row r="2030" spans="1:5" ht="22.05" customHeight="1" collapsed="1">
      <c r="A2030" s="237"/>
    </row>
    <row r="2031" spans="1:5" ht="22.05" customHeight="1">
      <c r="A2031" s="201" t="s">
        <v>1228</v>
      </c>
      <c r="B2031" s="208"/>
      <c r="C2031" s="208"/>
      <c r="D2031" s="208"/>
      <c r="E2031" s="208"/>
    </row>
    <row r="2032" spans="1:5" ht="22.05" hidden="1" customHeight="1" outlineLevel="1">
      <c r="A2032" s="201" t="s">
        <v>1255</v>
      </c>
      <c r="B2032" s="209"/>
      <c r="C2032" s="209"/>
      <c r="D2032" s="209"/>
      <c r="E2032" s="209"/>
    </row>
    <row r="2033" spans="1:5" ht="32.25" hidden="1" customHeight="1" outlineLevel="1">
      <c r="A2033" s="210" t="s">
        <v>1256</v>
      </c>
      <c r="B2033" s="822" t="s">
        <v>1257</v>
      </c>
      <c r="C2033" s="822" t="s">
        <v>1258</v>
      </c>
      <c r="D2033" s="824" t="s">
        <v>1259</v>
      </c>
      <c r="E2033" s="825"/>
    </row>
    <row r="2034" spans="1:5" ht="22.05" hidden="1" customHeight="1" outlineLevel="1">
      <c r="A2034" s="211"/>
      <c r="B2034" s="823"/>
      <c r="C2034" s="823"/>
      <c r="D2034" s="788" t="s">
        <v>1260</v>
      </c>
      <c r="E2034" s="788" t="s">
        <v>1261</v>
      </c>
    </row>
    <row r="2035" spans="1:5" ht="22.05" hidden="1" customHeight="1" outlineLevel="1">
      <c r="A2035" s="212" t="s">
        <v>1586</v>
      </c>
      <c r="B2035" s="217">
        <v>61855422</v>
      </c>
      <c r="C2035" s="217">
        <f>C2071</f>
        <v>73845222</v>
      </c>
      <c r="D2035" s="217">
        <f>D2071</f>
        <v>81229744.200000003</v>
      </c>
      <c r="E2035" s="217">
        <f>E2071</f>
        <v>89352718.620000005</v>
      </c>
    </row>
    <row r="2036" spans="1:5" ht="22.05" hidden="1" customHeight="1" outlineLevel="1">
      <c r="A2036" s="214" t="s">
        <v>1587</v>
      </c>
      <c r="B2036" s="215">
        <v>61855422</v>
      </c>
      <c r="C2036" s="215">
        <f>SUM(C2035:C2035)</f>
        <v>73845222</v>
      </c>
      <c r="D2036" s="215">
        <f>SUM(D2035:D2035)</f>
        <v>81229744.200000003</v>
      </c>
      <c r="E2036" s="215">
        <f>SUM(E2035:E2035)</f>
        <v>89352718.620000005</v>
      </c>
    </row>
    <row r="2037" spans="1:5" ht="22.05" hidden="1" customHeight="1" outlineLevel="1">
      <c r="A2037" s="212" t="s">
        <v>1588</v>
      </c>
      <c r="B2037" s="217">
        <v>10177000</v>
      </c>
      <c r="C2037" s="217">
        <f>C2084</f>
        <v>10177000</v>
      </c>
      <c r="D2037" s="217">
        <f>D2084</f>
        <v>11194700</v>
      </c>
      <c r="E2037" s="217">
        <f>E2084</f>
        <v>12314170</v>
      </c>
    </row>
    <row r="2038" spans="1:5" ht="22.05" hidden="1" customHeight="1" outlineLevel="1">
      <c r="A2038" s="212" t="s">
        <v>1589</v>
      </c>
      <c r="B2038" s="217">
        <v>6407500</v>
      </c>
      <c r="C2038" s="217">
        <f>C2097</f>
        <v>6407500</v>
      </c>
      <c r="D2038" s="217">
        <f>D2097</f>
        <v>7048250</v>
      </c>
      <c r="E2038" s="217">
        <f>E2097</f>
        <v>7753075.0000000009</v>
      </c>
    </row>
    <row r="2039" spans="1:5" ht="22.05" hidden="1" customHeight="1" outlineLevel="1">
      <c r="A2039" s="214" t="s">
        <v>1590</v>
      </c>
      <c r="B2039" s="215">
        <v>16584500</v>
      </c>
      <c r="C2039" s="215">
        <f>C2038+C2037</f>
        <v>16584500</v>
      </c>
      <c r="D2039" s="215">
        <f>D2038+D2037</f>
        <v>18242950</v>
      </c>
      <c r="E2039" s="215">
        <f>E2038+E2037</f>
        <v>20067245</v>
      </c>
    </row>
    <row r="2040" spans="1:5" ht="22.05" hidden="1" customHeight="1" outlineLevel="1">
      <c r="A2040" s="212" t="s">
        <v>1591</v>
      </c>
      <c r="B2040" s="217">
        <v>7031006</v>
      </c>
      <c r="C2040" s="217">
        <f>C2110</f>
        <v>6620006</v>
      </c>
      <c r="D2040" s="217">
        <f>D2110</f>
        <v>7282006.6000000006</v>
      </c>
      <c r="E2040" s="217">
        <f>E2110</f>
        <v>8010207.2600000016</v>
      </c>
    </row>
    <row r="2041" spans="1:5" ht="22.05" hidden="1" customHeight="1" outlineLevel="1">
      <c r="A2041" s="214" t="s">
        <v>1592</v>
      </c>
      <c r="B2041" s="215">
        <v>7031006</v>
      </c>
      <c r="C2041" s="215">
        <f>SUM(C2040:C2040)</f>
        <v>6620006</v>
      </c>
      <c r="D2041" s="215">
        <f>SUM(D2040:D2040)</f>
        <v>7282006.6000000006</v>
      </c>
      <c r="E2041" s="215">
        <f>SUM(E2040:E2040)</f>
        <v>8010207.2600000016</v>
      </c>
    </row>
    <row r="2042" spans="1:5" ht="22.05" hidden="1" customHeight="1" outlineLevel="1">
      <c r="A2042" s="218" t="s">
        <v>1285</v>
      </c>
      <c r="B2042" s="215">
        <v>85470928</v>
      </c>
      <c r="C2042" s="215">
        <f>SUM(C2036,C2039,C2041)</f>
        <v>97049728</v>
      </c>
      <c r="D2042" s="215">
        <f>SUM(D2036,D2039,D2041)</f>
        <v>106754700.8</v>
      </c>
      <c r="E2042" s="215">
        <f>SUM(E2036,E2039,E2041)</f>
        <v>117430170.88000001</v>
      </c>
    </row>
    <row r="2043" spans="1:5" ht="22.05" hidden="1" customHeight="1" outlineLevel="1">
      <c r="A2043" s="237"/>
    </row>
    <row r="2044" spans="1:5" ht="22.05" hidden="1" customHeight="1" outlineLevel="1">
      <c r="A2044" s="237"/>
    </row>
    <row r="2045" spans="1:5" ht="22.05" hidden="1" customHeight="1" outlineLevel="1">
      <c r="A2045" s="201" t="s">
        <v>1323</v>
      </c>
    </row>
    <row r="2046" spans="1:5" ht="22.05" hidden="1" customHeight="1" outlineLevel="1">
      <c r="A2046" s="201"/>
    </row>
    <row r="2047" spans="1:5" ht="22.05" hidden="1" customHeight="1" outlineLevel="1">
      <c r="A2047" s="210" t="s">
        <v>1287</v>
      </c>
      <c r="B2047" s="822" t="s">
        <v>1257</v>
      </c>
      <c r="C2047" s="822" t="s">
        <v>1258</v>
      </c>
      <c r="D2047" s="824" t="s">
        <v>1259</v>
      </c>
      <c r="E2047" s="825"/>
    </row>
    <row r="2048" spans="1:5" ht="22.05" hidden="1" customHeight="1" outlineLevel="1">
      <c r="A2048" s="211"/>
      <c r="B2048" s="823"/>
      <c r="C2048" s="823"/>
      <c r="D2048" s="788" t="s">
        <v>1260</v>
      </c>
      <c r="E2048" s="788" t="s">
        <v>1261</v>
      </c>
    </row>
    <row r="2049" spans="1:5" ht="22.05" hidden="1" customHeight="1" outlineLevel="1">
      <c r="A2049" s="218" t="s">
        <v>1298</v>
      </c>
      <c r="B2049" s="215">
        <v>75470928</v>
      </c>
      <c r="C2049" s="215">
        <f>SUM(C2050:C2052)</f>
        <v>83299728</v>
      </c>
      <c r="D2049" s="215">
        <f>SUM(D2050:D2052)</f>
        <v>91629700.800000012</v>
      </c>
      <c r="E2049" s="215">
        <f>SUM(E2050:E2052)</f>
        <v>100792670.88000001</v>
      </c>
    </row>
    <row r="2050" spans="1:5" ht="22.05" hidden="1" customHeight="1" outlineLevel="1">
      <c r="A2050" s="224" t="s">
        <v>1288</v>
      </c>
      <c r="B2050" s="217">
        <v>35769422</v>
      </c>
      <c r="C2050" s="217">
        <f>C2065+C2078+C2091+C2104</f>
        <v>43598222</v>
      </c>
      <c r="D2050" s="217">
        <f t="shared" ref="D2050:E2052" si="801">D2065+D2078+D2091+D2104</f>
        <v>47958044.200000003</v>
      </c>
      <c r="E2050" s="217">
        <f t="shared" si="801"/>
        <v>52753848.620000005</v>
      </c>
    </row>
    <row r="2051" spans="1:5" ht="22.05" hidden="1" customHeight="1" outlineLevel="1">
      <c r="A2051" s="224" t="s">
        <v>1289</v>
      </c>
      <c r="B2051" s="217">
        <v>35621506</v>
      </c>
      <c r="C2051" s="217">
        <f>C2066+C2079+C2092+C2105</f>
        <v>34621506</v>
      </c>
      <c r="D2051" s="217">
        <f t="shared" si="801"/>
        <v>38083656.600000001</v>
      </c>
      <c r="E2051" s="217">
        <f t="shared" si="801"/>
        <v>41892022.260000005</v>
      </c>
    </row>
    <row r="2052" spans="1:5" ht="22.05" hidden="1" customHeight="1" outlineLevel="1">
      <c r="A2052" s="224" t="s">
        <v>1290</v>
      </c>
      <c r="B2052" s="217">
        <v>4080000</v>
      </c>
      <c r="C2052" s="217">
        <f>C2067+C2080+C2093+C2106</f>
        <v>5080000</v>
      </c>
      <c r="D2052" s="217">
        <f t="shared" si="801"/>
        <v>5588000</v>
      </c>
      <c r="E2052" s="217">
        <f t="shared" si="801"/>
        <v>6146800.0000000009</v>
      </c>
    </row>
    <row r="2053" spans="1:5" ht="22.05" hidden="1" customHeight="1" outlineLevel="1">
      <c r="A2053" s="218" t="s">
        <v>1291</v>
      </c>
      <c r="B2053" s="215">
        <v>10000000</v>
      </c>
      <c r="C2053" s="215">
        <f>SUM(C2054:C2055)</f>
        <v>13750000</v>
      </c>
      <c r="D2053" s="215">
        <f>SUM(D2054:D2055)</f>
        <v>15125000.000000002</v>
      </c>
      <c r="E2053" s="215">
        <f>SUM(E2054:E2055)</f>
        <v>16637500.000000004</v>
      </c>
    </row>
    <row r="2054" spans="1:5" ht="22.05" hidden="1" customHeight="1" outlineLevel="1">
      <c r="A2054" s="224" t="s">
        <v>1292</v>
      </c>
      <c r="B2054" s="217">
        <v>10000000</v>
      </c>
      <c r="C2054" s="217">
        <f>C2068+C2081+C2094+C2107</f>
        <v>13750000</v>
      </c>
      <c r="D2054" s="217">
        <f t="shared" ref="D2054:E2054" si="802">D2068+D2081+D2094+D2107</f>
        <v>15125000.000000002</v>
      </c>
      <c r="E2054" s="217">
        <f t="shared" si="802"/>
        <v>16637500.000000004</v>
      </c>
    </row>
    <row r="2055" spans="1:5" ht="22.05" hidden="1" customHeight="1" outlineLevel="1">
      <c r="A2055" s="224" t="s">
        <v>1293</v>
      </c>
      <c r="B2055" s="217">
        <v>0</v>
      </c>
      <c r="C2055" s="217"/>
      <c r="D2055" s="217"/>
      <c r="E2055" s="217"/>
    </row>
    <row r="2056" spans="1:5" ht="22.05" hidden="1" customHeight="1" outlineLevel="1">
      <c r="A2056" s="218" t="s">
        <v>1294</v>
      </c>
      <c r="B2056" s="215">
        <v>85470928</v>
      </c>
      <c r="C2056" s="215">
        <f>C2049+C2053</f>
        <v>97049728</v>
      </c>
      <c r="D2056" s="215">
        <f>D2049+D2053</f>
        <v>106754700.80000001</v>
      </c>
      <c r="E2056" s="215">
        <f>E2049+E2053</f>
        <v>117430170.88000001</v>
      </c>
    </row>
    <row r="2057" spans="1:5" ht="22.05" hidden="1" customHeight="1" outlineLevel="1">
      <c r="A2057" s="237"/>
    </row>
    <row r="2058" spans="1:5" ht="22.05" hidden="1" customHeight="1" outlineLevel="1">
      <c r="A2058" s="201" t="s">
        <v>1295</v>
      </c>
    </row>
    <row r="2059" spans="1:5" ht="22.05" hidden="1" customHeight="1" outlineLevel="1">
      <c r="A2059" s="201"/>
    </row>
    <row r="2060" spans="1:5" ht="22.05" hidden="1" customHeight="1" outlineLevel="1">
      <c r="A2060" s="201" t="s">
        <v>1587</v>
      </c>
    </row>
    <row r="2061" spans="1:5" ht="22.05" hidden="1" customHeight="1" outlineLevel="1">
      <c r="A2061" s="205" t="s">
        <v>1586</v>
      </c>
    </row>
    <row r="2062" spans="1:5" ht="22.05" hidden="1" customHeight="1" outlineLevel="1">
      <c r="A2062" s="210" t="s">
        <v>1287</v>
      </c>
      <c r="B2062" s="822" t="s">
        <v>1257</v>
      </c>
      <c r="C2062" s="822" t="s">
        <v>1258</v>
      </c>
      <c r="D2062" s="824" t="s">
        <v>1259</v>
      </c>
      <c r="E2062" s="825"/>
    </row>
    <row r="2063" spans="1:5" ht="22.05" hidden="1" customHeight="1" outlineLevel="1">
      <c r="A2063" s="211"/>
      <c r="B2063" s="823"/>
      <c r="C2063" s="823"/>
      <c r="D2063" s="788" t="s">
        <v>1260</v>
      </c>
      <c r="E2063" s="788" t="s">
        <v>1261</v>
      </c>
    </row>
    <row r="2064" spans="1:5" ht="22.05" hidden="1" customHeight="1" outlineLevel="1">
      <c r="A2064" s="218" t="s">
        <v>1298</v>
      </c>
      <c r="B2064" s="215">
        <v>51855422</v>
      </c>
      <c r="C2064" s="215">
        <f>SUM(C2065:C2067)</f>
        <v>60095222</v>
      </c>
      <c r="D2064" s="215">
        <f>SUM(D2065:D2067)</f>
        <v>66104744.200000003</v>
      </c>
      <c r="E2064" s="215">
        <f>SUM(E2065:E2067)</f>
        <v>72715218.620000005</v>
      </c>
    </row>
    <row r="2065" spans="1:5" ht="22.05" hidden="1" customHeight="1" outlineLevel="1">
      <c r="A2065" s="224" t="s">
        <v>1288</v>
      </c>
      <c r="B2065" s="217">
        <v>35769422</v>
      </c>
      <c r="C2065" s="217">
        <f>'Itemized Budget 2026-27'!E4586</f>
        <v>43598222</v>
      </c>
      <c r="D2065" s="217">
        <f t="shared" ref="D2065:E2065" si="803">C2065*1.1</f>
        <v>47958044.200000003</v>
      </c>
      <c r="E2065" s="217">
        <f t="shared" si="803"/>
        <v>52753848.620000005</v>
      </c>
    </row>
    <row r="2066" spans="1:5" ht="22.05" hidden="1" customHeight="1" outlineLevel="1">
      <c r="A2066" s="224" t="s">
        <v>1289</v>
      </c>
      <c r="B2066" s="217">
        <v>14186000</v>
      </c>
      <c r="C2066" s="217">
        <f>'Itemized Budget 2026-27'!E4630-'Itemized Budget 2026-27'!E4627-'Itemized Budget 2026-27'!E4586</f>
        <v>14597000</v>
      </c>
      <c r="D2066" s="217">
        <f t="shared" ref="D2066:E2066" si="804">C2066*1.1</f>
        <v>16056700.000000002</v>
      </c>
      <c r="E2066" s="217">
        <f t="shared" si="804"/>
        <v>17662370.000000004</v>
      </c>
    </row>
    <row r="2067" spans="1:5" ht="22.05" hidden="1" customHeight="1" outlineLevel="1">
      <c r="A2067" s="224" t="s">
        <v>1290</v>
      </c>
      <c r="B2067" s="217">
        <v>1900000</v>
      </c>
      <c r="C2067" s="217">
        <f>'Itemized Budget 2026-27'!E4627</f>
        <v>1900000</v>
      </c>
      <c r="D2067" s="217">
        <f t="shared" ref="D2067:E2067" si="805">C2067*1.1</f>
        <v>2090000.0000000002</v>
      </c>
      <c r="E2067" s="217">
        <f t="shared" si="805"/>
        <v>2299000.0000000005</v>
      </c>
    </row>
    <row r="2068" spans="1:5" ht="22.05" hidden="1" customHeight="1" outlineLevel="1">
      <c r="A2068" s="218" t="s">
        <v>1291</v>
      </c>
      <c r="B2068" s="215">
        <v>10000000</v>
      </c>
      <c r="C2068" s="215">
        <f>SUM(C2069:C2070)</f>
        <v>13750000</v>
      </c>
      <c r="D2068" s="215">
        <f t="shared" ref="D2068:E2068" si="806">SUM(D2069:D2070)</f>
        <v>15125000.000000002</v>
      </c>
      <c r="E2068" s="215">
        <f t="shared" si="806"/>
        <v>16637500.000000004</v>
      </c>
    </row>
    <row r="2069" spans="1:5" ht="22.05" hidden="1" customHeight="1" outlineLevel="1">
      <c r="A2069" s="224" t="s">
        <v>1299</v>
      </c>
      <c r="B2069" s="217">
        <v>10000000</v>
      </c>
      <c r="C2069" s="217">
        <f>'Itemized Budget 2026-27'!E4636</f>
        <v>13750000</v>
      </c>
      <c r="D2069" s="217">
        <f t="shared" ref="D2069:E2069" si="807">C2069*1.1</f>
        <v>15125000.000000002</v>
      </c>
      <c r="E2069" s="217">
        <f t="shared" si="807"/>
        <v>16637500.000000004</v>
      </c>
    </row>
    <row r="2070" spans="1:5" ht="22.05" hidden="1" customHeight="1" outlineLevel="1">
      <c r="A2070" s="224" t="s">
        <v>1300</v>
      </c>
      <c r="B2070" s="217"/>
      <c r="C2070" s="215"/>
      <c r="D2070" s="217"/>
      <c r="E2070" s="217">
        <f t="shared" ref="E2070" si="808">D2070*1.1</f>
        <v>0</v>
      </c>
    </row>
    <row r="2071" spans="1:5" ht="22.05" hidden="1" customHeight="1" outlineLevel="1">
      <c r="A2071" s="224" t="s">
        <v>1301</v>
      </c>
      <c r="B2071" s="215">
        <v>61855422</v>
      </c>
      <c r="C2071" s="215">
        <f>C2064+C2068</f>
        <v>73845222</v>
      </c>
      <c r="D2071" s="215">
        <f>D2064+D2068</f>
        <v>81229744.200000003</v>
      </c>
      <c r="E2071" s="215">
        <f>E2064+E2068</f>
        <v>89352718.620000005</v>
      </c>
    </row>
    <row r="2072" spans="1:5" s="201" customFormat="1" ht="22.05" hidden="1" customHeight="1" outlineLevel="1">
      <c r="A2072" s="205"/>
      <c r="B2072" s="206"/>
      <c r="C2072" s="206"/>
      <c r="D2072" s="206"/>
      <c r="E2072" s="206"/>
    </row>
    <row r="2073" spans="1:5" s="201" customFormat="1" ht="22.05" hidden="1" customHeight="1" outlineLevel="1">
      <c r="A2073" s="201" t="s">
        <v>1593</v>
      </c>
      <c r="B2073" s="206"/>
      <c r="C2073" s="206"/>
      <c r="D2073" s="206"/>
      <c r="E2073" s="206"/>
    </row>
    <row r="2074" spans="1:5" ht="22.05" hidden="1" customHeight="1" outlineLevel="1">
      <c r="A2074" s="205" t="s">
        <v>1588</v>
      </c>
    </row>
    <row r="2075" spans="1:5" ht="22.05" hidden="1" customHeight="1" outlineLevel="1">
      <c r="A2075" s="210" t="s">
        <v>1287</v>
      </c>
      <c r="B2075" s="822" t="s">
        <v>1257</v>
      </c>
      <c r="C2075" s="822" t="s">
        <v>1258</v>
      </c>
      <c r="D2075" s="824" t="s">
        <v>1259</v>
      </c>
      <c r="E2075" s="825"/>
    </row>
    <row r="2076" spans="1:5" ht="22.05" hidden="1" customHeight="1" outlineLevel="1">
      <c r="A2076" s="211"/>
      <c r="B2076" s="823"/>
      <c r="C2076" s="823"/>
      <c r="D2076" s="788" t="s">
        <v>1260</v>
      </c>
      <c r="E2076" s="788" t="s">
        <v>1261</v>
      </c>
    </row>
    <row r="2077" spans="1:5" ht="22.05" hidden="1" customHeight="1" outlineLevel="1">
      <c r="A2077" s="218" t="s">
        <v>1298</v>
      </c>
      <c r="B2077" s="215">
        <v>10177000</v>
      </c>
      <c r="C2077" s="215">
        <f>SUM(C2078:C2080)</f>
        <v>10177000</v>
      </c>
      <c r="D2077" s="215">
        <f>SUM(D2078:D2080)</f>
        <v>11194700</v>
      </c>
      <c r="E2077" s="215">
        <f>SUM(E2078:E2080)</f>
        <v>12314170</v>
      </c>
    </row>
    <row r="2078" spans="1:5" ht="22.05" hidden="1" customHeight="1" outlineLevel="1">
      <c r="A2078" s="224" t="s">
        <v>1288</v>
      </c>
      <c r="B2078" s="217"/>
      <c r="C2078" s="217"/>
      <c r="D2078" s="217">
        <f t="shared" ref="D2078:E2078" si="809">C2078*1.1</f>
        <v>0</v>
      </c>
      <c r="E2078" s="217">
        <f t="shared" si="809"/>
        <v>0</v>
      </c>
    </row>
    <row r="2079" spans="1:5" ht="22.05" hidden="1" customHeight="1" outlineLevel="1">
      <c r="A2079" s="224" t="s">
        <v>1289</v>
      </c>
      <c r="B2079" s="217">
        <v>8327000</v>
      </c>
      <c r="C2079" s="217">
        <f>'Itemized Budget 2026-27'!E4678-'Itemized Budget 2026-27'!E4674</f>
        <v>8327000</v>
      </c>
      <c r="D2079" s="217">
        <f t="shared" ref="D2079:E2079" si="810">C2079*1.1</f>
        <v>9159700</v>
      </c>
      <c r="E2079" s="217">
        <f t="shared" si="810"/>
        <v>10075670</v>
      </c>
    </row>
    <row r="2080" spans="1:5" ht="22.05" hidden="1" customHeight="1" outlineLevel="1">
      <c r="A2080" s="224" t="s">
        <v>1290</v>
      </c>
      <c r="B2080" s="217">
        <v>1850000</v>
      </c>
      <c r="C2080" s="217">
        <f>'Itemized Budget 2026-27'!E4674</f>
        <v>1850000</v>
      </c>
      <c r="D2080" s="217">
        <f t="shared" ref="D2080:E2080" si="811">C2080*1.1</f>
        <v>2035000.0000000002</v>
      </c>
      <c r="E2080" s="217">
        <f t="shared" si="811"/>
        <v>2238500.0000000005</v>
      </c>
    </row>
    <row r="2081" spans="1:5" ht="22.05" hidden="1" customHeight="1" outlineLevel="1">
      <c r="A2081" s="218" t="s">
        <v>1291</v>
      </c>
      <c r="B2081" s="215">
        <v>0</v>
      </c>
      <c r="C2081" s="215">
        <f>SUM(C2082:C2083)</f>
        <v>0</v>
      </c>
      <c r="D2081" s="215">
        <f t="shared" ref="D2081:E2081" si="812">SUM(D2082:D2083)</f>
        <v>0</v>
      </c>
      <c r="E2081" s="215">
        <f t="shared" si="812"/>
        <v>0</v>
      </c>
    </row>
    <row r="2082" spans="1:5" ht="22.05" hidden="1" customHeight="1" outlineLevel="1">
      <c r="A2082" s="224" t="s">
        <v>1299</v>
      </c>
      <c r="B2082" s="217">
        <v>0</v>
      </c>
      <c r="C2082" s="217">
        <v>0</v>
      </c>
      <c r="D2082" s="217">
        <f t="shared" ref="D2082:E2082" si="813">C2082*1.1</f>
        <v>0</v>
      </c>
      <c r="E2082" s="217">
        <f t="shared" si="813"/>
        <v>0</v>
      </c>
    </row>
    <row r="2083" spans="1:5" ht="22.05" hidden="1" customHeight="1" outlineLevel="1">
      <c r="A2083" s="224" t="s">
        <v>1300</v>
      </c>
      <c r="B2083" s="217">
        <v>0</v>
      </c>
      <c r="C2083" s="217">
        <v>0</v>
      </c>
      <c r="D2083" s="217">
        <f t="shared" ref="D2083:E2083" si="814">C2083*1.1</f>
        <v>0</v>
      </c>
      <c r="E2083" s="217">
        <f t="shared" si="814"/>
        <v>0</v>
      </c>
    </row>
    <row r="2084" spans="1:5" ht="22.05" hidden="1" customHeight="1" outlineLevel="1">
      <c r="A2084" s="218" t="s">
        <v>1301</v>
      </c>
      <c r="B2084" s="215">
        <v>10177000</v>
      </c>
      <c r="C2084" s="215">
        <f>C2077+C2081</f>
        <v>10177000</v>
      </c>
      <c r="D2084" s="215">
        <f>D2077+D2081</f>
        <v>11194700</v>
      </c>
      <c r="E2084" s="215">
        <f>E2077+E2081</f>
        <v>12314170</v>
      </c>
    </row>
    <row r="2085" spans="1:5" ht="22.05" hidden="1" customHeight="1" outlineLevel="1">
      <c r="A2085" s="201"/>
      <c r="B2085" s="208"/>
      <c r="C2085" s="208"/>
      <c r="D2085" s="208"/>
      <c r="E2085" s="208"/>
    </row>
    <row r="2086" spans="1:5" ht="22.05" hidden="1" customHeight="1" outlineLevel="1">
      <c r="A2086" s="201" t="s">
        <v>1593</v>
      </c>
    </row>
    <row r="2087" spans="1:5" ht="22.05" hidden="1" customHeight="1" outlineLevel="1">
      <c r="A2087" s="205" t="s">
        <v>1589</v>
      </c>
    </row>
    <row r="2088" spans="1:5" ht="22.05" hidden="1" customHeight="1" outlineLevel="1">
      <c r="A2088" s="210" t="s">
        <v>1287</v>
      </c>
      <c r="B2088" s="822" t="s">
        <v>1257</v>
      </c>
      <c r="C2088" s="822" t="s">
        <v>1258</v>
      </c>
      <c r="D2088" s="824" t="s">
        <v>1259</v>
      </c>
      <c r="E2088" s="825"/>
    </row>
    <row r="2089" spans="1:5" ht="22.05" hidden="1" customHeight="1" outlineLevel="1">
      <c r="A2089" s="211"/>
      <c r="B2089" s="823"/>
      <c r="C2089" s="823"/>
      <c r="D2089" s="788" t="s">
        <v>1260</v>
      </c>
      <c r="E2089" s="788" t="s">
        <v>1261</v>
      </c>
    </row>
    <row r="2090" spans="1:5" ht="22.05" hidden="1" customHeight="1" outlineLevel="1">
      <c r="A2090" s="218" t="s">
        <v>1298</v>
      </c>
      <c r="B2090" s="215">
        <v>6407500</v>
      </c>
      <c r="C2090" s="215">
        <f>SUM(C2091:C2093)</f>
        <v>6407500</v>
      </c>
      <c r="D2090" s="215">
        <f>SUM(D2091:D2093)</f>
        <v>7048250</v>
      </c>
      <c r="E2090" s="215">
        <f>SUM(E2091:E2093)</f>
        <v>7753075.0000000009</v>
      </c>
    </row>
    <row r="2091" spans="1:5" ht="22.05" hidden="1" customHeight="1" outlineLevel="1">
      <c r="A2091" s="224" t="s">
        <v>1288</v>
      </c>
      <c r="B2091" s="217"/>
      <c r="C2091" s="217"/>
      <c r="D2091" s="217">
        <f t="shared" ref="D2091:E2091" si="815">C2091*1.1</f>
        <v>0</v>
      </c>
      <c r="E2091" s="217">
        <f t="shared" si="815"/>
        <v>0</v>
      </c>
    </row>
    <row r="2092" spans="1:5" ht="22.05" hidden="1" customHeight="1" outlineLevel="1">
      <c r="A2092" s="224" t="s">
        <v>1289</v>
      </c>
      <c r="B2092" s="217">
        <v>6177500</v>
      </c>
      <c r="C2092" s="217">
        <f>'Itemized Budget 2026-27'!E4720-'Itemized Budget 2026-27'!E4717</f>
        <v>5177500</v>
      </c>
      <c r="D2092" s="217">
        <f t="shared" ref="D2092:E2092" si="816">C2092*1.1</f>
        <v>5695250</v>
      </c>
      <c r="E2092" s="217">
        <f t="shared" si="816"/>
        <v>6264775.0000000009</v>
      </c>
    </row>
    <row r="2093" spans="1:5" ht="22.05" hidden="1" customHeight="1" outlineLevel="1">
      <c r="A2093" s="224" t="s">
        <v>1290</v>
      </c>
      <c r="B2093" s="217">
        <v>230000</v>
      </c>
      <c r="C2093" s="217">
        <f>'Itemized Budget 2026-27'!E4717</f>
        <v>1230000</v>
      </c>
      <c r="D2093" s="217">
        <f t="shared" ref="D2093:E2093" si="817">C2093*1.1</f>
        <v>1353000</v>
      </c>
      <c r="E2093" s="217">
        <f t="shared" si="817"/>
        <v>1488300.0000000002</v>
      </c>
    </row>
    <row r="2094" spans="1:5" s="201" customFormat="1" ht="22.05" hidden="1" customHeight="1" outlineLevel="1">
      <c r="A2094" s="218" t="s">
        <v>1291</v>
      </c>
      <c r="B2094" s="215">
        <v>0</v>
      </c>
      <c r="C2094" s="215">
        <f>SUM(C2095:C2096)</f>
        <v>0</v>
      </c>
      <c r="D2094" s="215">
        <f t="shared" ref="D2094:E2094" si="818">SUM(D2095:D2096)</f>
        <v>0</v>
      </c>
      <c r="E2094" s="215">
        <f t="shared" si="818"/>
        <v>0</v>
      </c>
    </row>
    <row r="2095" spans="1:5" ht="22.05" hidden="1" customHeight="1" outlineLevel="1">
      <c r="A2095" s="224" t="s">
        <v>1299</v>
      </c>
      <c r="B2095" s="217">
        <v>0</v>
      </c>
      <c r="C2095" s="217">
        <v>0</v>
      </c>
      <c r="D2095" s="217">
        <f t="shared" ref="D2095:E2095" si="819">C2095*1.1</f>
        <v>0</v>
      </c>
      <c r="E2095" s="217">
        <f t="shared" si="819"/>
        <v>0</v>
      </c>
    </row>
    <row r="2096" spans="1:5" ht="22.05" hidden="1" customHeight="1" outlineLevel="1">
      <c r="A2096" s="224" t="s">
        <v>1300</v>
      </c>
      <c r="B2096" s="217">
        <v>0</v>
      </c>
      <c r="C2096" s="217">
        <v>0</v>
      </c>
      <c r="D2096" s="217">
        <f t="shared" ref="D2096:E2096" si="820">C2096*1.1</f>
        <v>0</v>
      </c>
      <c r="E2096" s="217">
        <f t="shared" si="820"/>
        <v>0</v>
      </c>
    </row>
    <row r="2097" spans="1:5" ht="22.05" hidden="1" customHeight="1" outlineLevel="1">
      <c r="A2097" s="218" t="s">
        <v>1301</v>
      </c>
      <c r="B2097" s="215">
        <v>6407500</v>
      </c>
      <c r="C2097" s="215">
        <f>C2090+C2094</f>
        <v>6407500</v>
      </c>
      <c r="D2097" s="215">
        <f>D2090+D2094</f>
        <v>7048250</v>
      </c>
      <c r="E2097" s="215">
        <f>E2090+E2094</f>
        <v>7753075.0000000009</v>
      </c>
    </row>
    <row r="2098" spans="1:5" ht="22.05" hidden="1" customHeight="1" outlineLevel="1"/>
    <row r="2099" spans="1:5" ht="22.05" hidden="1" customHeight="1" outlineLevel="1">
      <c r="A2099" s="201" t="s">
        <v>1594</v>
      </c>
    </row>
    <row r="2100" spans="1:5" ht="22.05" hidden="1" customHeight="1" outlineLevel="1">
      <c r="A2100" s="205" t="s">
        <v>1595</v>
      </c>
    </row>
    <row r="2101" spans="1:5" ht="22.05" hidden="1" customHeight="1" outlineLevel="1">
      <c r="A2101" s="210" t="s">
        <v>1287</v>
      </c>
      <c r="B2101" s="822" t="s">
        <v>1257</v>
      </c>
      <c r="C2101" s="822" t="s">
        <v>1258</v>
      </c>
      <c r="D2101" s="824" t="s">
        <v>1259</v>
      </c>
      <c r="E2101" s="825"/>
    </row>
    <row r="2102" spans="1:5" ht="22.05" hidden="1" customHeight="1" outlineLevel="1">
      <c r="A2102" s="211"/>
      <c r="B2102" s="823"/>
      <c r="C2102" s="823"/>
      <c r="D2102" s="788" t="s">
        <v>1260</v>
      </c>
      <c r="E2102" s="788" t="s">
        <v>1261</v>
      </c>
    </row>
    <row r="2103" spans="1:5" ht="22.05" hidden="1" customHeight="1" outlineLevel="1">
      <c r="A2103" s="218" t="s">
        <v>1298</v>
      </c>
      <c r="B2103" s="215">
        <v>7031006</v>
      </c>
      <c r="C2103" s="215">
        <f>SUM(C2104:C2106)</f>
        <v>6620006</v>
      </c>
      <c r="D2103" s="215">
        <f>SUM(D2104:D2106)</f>
        <v>7282006.6000000006</v>
      </c>
      <c r="E2103" s="215">
        <f>SUM(E2104:E2106)</f>
        <v>8010207.2600000016</v>
      </c>
    </row>
    <row r="2104" spans="1:5" s="201" customFormat="1" ht="22.05" hidden="1" customHeight="1" outlineLevel="1">
      <c r="A2104" s="224" t="s">
        <v>1288</v>
      </c>
      <c r="B2104" s="217"/>
      <c r="C2104" s="217"/>
      <c r="D2104" s="217">
        <f t="shared" ref="D2104:E2104" si="821">C2104*1.1</f>
        <v>0</v>
      </c>
      <c r="E2104" s="217">
        <f t="shared" si="821"/>
        <v>0</v>
      </c>
    </row>
    <row r="2105" spans="1:5" ht="22.05" hidden="1" customHeight="1" outlineLevel="1">
      <c r="A2105" s="224" t="s">
        <v>1289</v>
      </c>
      <c r="B2105" s="217">
        <v>6931006</v>
      </c>
      <c r="C2105" s="217">
        <f>'Itemized Budget 2026-27'!E4757-'Itemized Budget 2026-27'!E4755</f>
        <v>6520006</v>
      </c>
      <c r="D2105" s="217">
        <f t="shared" ref="D2105:E2105" si="822">C2105*1.1</f>
        <v>7172006.6000000006</v>
      </c>
      <c r="E2105" s="217">
        <f t="shared" si="822"/>
        <v>7889207.2600000016</v>
      </c>
    </row>
    <row r="2106" spans="1:5" ht="22.05" hidden="1" customHeight="1" outlineLevel="1">
      <c r="A2106" s="224" t="s">
        <v>1290</v>
      </c>
      <c r="B2106" s="217">
        <v>100000</v>
      </c>
      <c r="C2106" s="217">
        <f>'Itemized Budget 2026-27'!E4755</f>
        <v>100000</v>
      </c>
      <c r="D2106" s="217">
        <f t="shared" ref="D2106:E2106" si="823">C2106*1.1</f>
        <v>110000.00000000001</v>
      </c>
      <c r="E2106" s="217">
        <f t="shared" si="823"/>
        <v>121000.00000000003</v>
      </c>
    </row>
    <row r="2107" spans="1:5" s="201" customFormat="1" ht="22.05" hidden="1" customHeight="1" outlineLevel="1">
      <c r="A2107" s="218" t="s">
        <v>1291</v>
      </c>
      <c r="B2107" s="215">
        <v>0</v>
      </c>
      <c r="C2107" s="215">
        <f>SUM(C2108:C2109)</f>
        <v>0</v>
      </c>
      <c r="D2107" s="215">
        <f t="shared" ref="D2107:E2107" si="824">SUM(D2108:D2109)</f>
        <v>0</v>
      </c>
      <c r="E2107" s="215">
        <f t="shared" si="824"/>
        <v>0</v>
      </c>
    </row>
    <row r="2108" spans="1:5" ht="22.05" hidden="1" customHeight="1" outlineLevel="1">
      <c r="A2108" s="224" t="s">
        <v>1299</v>
      </c>
      <c r="B2108" s="217"/>
      <c r="C2108" s="217"/>
      <c r="D2108" s="217">
        <f t="shared" ref="D2108:E2108" si="825">C2108*1.1</f>
        <v>0</v>
      </c>
      <c r="E2108" s="217">
        <f t="shared" si="825"/>
        <v>0</v>
      </c>
    </row>
    <row r="2109" spans="1:5" ht="22.05" hidden="1" customHeight="1" outlineLevel="1">
      <c r="A2109" s="224" t="s">
        <v>1300</v>
      </c>
      <c r="B2109" s="217">
        <v>0</v>
      </c>
      <c r="C2109" s="217">
        <v>0</v>
      </c>
      <c r="D2109" s="217">
        <f t="shared" ref="D2109:E2109" si="826">C2109*1.1</f>
        <v>0</v>
      </c>
      <c r="E2109" s="217">
        <f t="shared" si="826"/>
        <v>0</v>
      </c>
    </row>
    <row r="2110" spans="1:5" ht="22.05" hidden="1" customHeight="1" outlineLevel="1">
      <c r="A2110" s="218" t="s">
        <v>1301</v>
      </c>
      <c r="B2110" s="215">
        <v>7031006</v>
      </c>
      <c r="C2110" s="215">
        <f>C2103+C2107</f>
        <v>6620006</v>
      </c>
      <c r="D2110" s="215">
        <f>D2103+D2107</f>
        <v>7282006.6000000006</v>
      </c>
      <c r="E2110" s="215">
        <f>E2103+E2107</f>
        <v>8010207.2600000016</v>
      </c>
    </row>
    <row r="2111" spans="1:5" ht="22.05" customHeight="1" collapsed="1">
      <c r="A2111" s="237"/>
    </row>
    <row r="2112" spans="1:5" ht="22.05" customHeight="1">
      <c r="A2112" s="201" t="s">
        <v>1245</v>
      </c>
      <c r="B2112" s="208"/>
      <c r="C2112" s="208"/>
      <c r="D2112" s="208"/>
      <c r="E2112" s="208"/>
    </row>
    <row r="2113" spans="1:6" ht="22.05" hidden="1" customHeight="1" outlineLevel="1">
      <c r="A2113" s="201" t="s">
        <v>1255</v>
      </c>
      <c r="B2113" s="209"/>
      <c r="C2113" s="209"/>
      <c r="D2113" s="209"/>
      <c r="E2113" s="209"/>
    </row>
    <row r="2114" spans="1:6" ht="22.05" hidden="1" customHeight="1" outlineLevel="1">
      <c r="A2114" s="210" t="s">
        <v>1256</v>
      </c>
      <c r="B2114" s="822" t="s">
        <v>1257</v>
      </c>
      <c r="C2114" s="822" t="s">
        <v>1258</v>
      </c>
      <c r="D2114" s="824" t="s">
        <v>1259</v>
      </c>
      <c r="E2114" s="825"/>
    </row>
    <row r="2115" spans="1:6" ht="22.05" hidden="1" customHeight="1" outlineLevel="1">
      <c r="A2115" s="211"/>
      <c r="B2115" s="823"/>
      <c r="C2115" s="823"/>
      <c r="D2115" s="788" t="s">
        <v>1260</v>
      </c>
      <c r="E2115" s="788" t="s">
        <v>1261</v>
      </c>
    </row>
    <row r="2116" spans="1:6" ht="22.05" hidden="1" customHeight="1" outlineLevel="1">
      <c r="A2116" s="214" t="s">
        <v>1587</v>
      </c>
      <c r="B2116" s="215">
        <v>443953615.02999997</v>
      </c>
      <c r="C2116" s="215">
        <f>C2146</f>
        <v>1107699946.0739999</v>
      </c>
      <c r="D2116" s="215">
        <f t="shared" ref="D2116:E2116" si="827">D2146</f>
        <v>1218469940.6814001</v>
      </c>
      <c r="E2116" s="215">
        <f t="shared" si="827"/>
        <v>1340316934.7495403</v>
      </c>
    </row>
    <row r="2117" spans="1:6" ht="22.05" hidden="1" customHeight="1" outlineLevel="1">
      <c r="A2117" s="201" t="s">
        <v>1596</v>
      </c>
      <c r="B2117" s="215">
        <v>803896333.04400003</v>
      </c>
      <c r="C2117" s="215">
        <f>C2158</f>
        <v>0</v>
      </c>
      <c r="D2117" s="215">
        <f t="shared" ref="D2117:E2117" si="828">D2158</f>
        <v>0</v>
      </c>
      <c r="E2117" s="215">
        <f t="shared" si="828"/>
        <v>0</v>
      </c>
    </row>
    <row r="2118" spans="1:6" ht="22.05" hidden="1" customHeight="1" outlineLevel="1">
      <c r="A2118" s="218" t="s">
        <v>1285</v>
      </c>
      <c r="B2118" s="215">
        <v>1247849948.0739999</v>
      </c>
      <c r="C2118" s="215">
        <f>C2116+C2117</f>
        <v>1107699946.0739999</v>
      </c>
      <c r="D2118" s="215">
        <f>D2116+D2117</f>
        <v>1218469940.6814001</v>
      </c>
      <c r="E2118" s="215">
        <f>E2116+E2117</f>
        <v>1340316934.7495403</v>
      </c>
    </row>
    <row r="2119" spans="1:6" ht="22.05" hidden="1" customHeight="1" outlineLevel="1">
      <c r="A2119" s="237"/>
    </row>
    <row r="2120" spans="1:6" ht="22.05" hidden="1" customHeight="1" outlineLevel="1">
      <c r="A2120" s="237"/>
    </row>
    <row r="2121" spans="1:6" ht="22.05" hidden="1" customHeight="1" outlineLevel="1">
      <c r="A2121" s="201" t="s">
        <v>1323</v>
      </c>
    </row>
    <row r="2122" spans="1:6" ht="22.05" hidden="1" customHeight="1" outlineLevel="1">
      <c r="A2122" s="201"/>
    </row>
    <row r="2123" spans="1:6" ht="22.05" hidden="1" customHeight="1" outlineLevel="1">
      <c r="A2123" s="210" t="s">
        <v>1287</v>
      </c>
      <c r="B2123" s="822" t="s">
        <v>1257</v>
      </c>
      <c r="C2123" s="822" t="s">
        <v>1258</v>
      </c>
      <c r="D2123" s="824" t="s">
        <v>1259</v>
      </c>
      <c r="E2123" s="825"/>
    </row>
    <row r="2124" spans="1:6" ht="22.05" hidden="1" customHeight="1" outlineLevel="1">
      <c r="A2124" s="211"/>
      <c r="B2124" s="823"/>
      <c r="C2124" s="823"/>
      <c r="D2124" s="788" t="s">
        <v>1260</v>
      </c>
      <c r="E2124" s="788" t="s">
        <v>1261</v>
      </c>
    </row>
    <row r="2125" spans="1:6" ht="22.05" hidden="1" customHeight="1" outlineLevel="1">
      <c r="A2125" s="218" t="s">
        <v>1298</v>
      </c>
      <c r="B2125" s="215">
        <v>1044678558.074</v>
      </c>
      <c r="C2125" s="215">
        <f>SUM(C2126:C2128)</f>
        <v>1007699946.074</v>
      </c>
      <c r="D2125" s="215">
        <f>SUM(D2126:D2128)</f>
        <v>1108469940.6814001</v>
      </c>
      <c r="E2125" s="215">
        <f>SUM(E2126:E2128)</f>
        <v>1219316934.7495403</v>
      </c>
    </row>
    <row r="2126" spans="1:6" ht="22.05" hidden="1" customHeight="1" outlineLevel="1">
      <c r="A2126" s="224" t="s">
        <v>1288</v>
      </c>
      <c r="B2126" s="217">
        <v>474869327.04400003</v>
      </c>
      <c r="C2126" s="217">
        <f>C2140+C2152</f>
        <v>488264486.04400003</v>
      </c>
      <c r="D2126" s="217">
        <f t="shared" ref="D2126:E2126" si="829">D2140+D2152</f>
        <v>537090934.64840007</v>
      </c>
      <c r="E2126" s="217">
        <f t="shared" si="829"/>
        <v>590800028.11324012</v>
      </c>
      <c r="F2126" s="246"/>
    </row>
    <row r="2127" spans="1:6" ht="22.05" hidden="1" customHeight="1" outlineLevel="1">
      <c r="A2127" s="224" t="s">
        <v>1289</v>
      </c>
      <c r="B2127" s="217">
        <v>534161451.10000002</v>
      </c>
      <c r="C2127" s="217">
        <f t="shared" ref="C2127:E2127" si="830">C2141+C2153</f>
        <v>519435460.02999997</v>
      </c>
      <c r="D2127" s="217">
        <f t="shared" si="830"/>
        <v>571379006.03299999</v>
      </c>
      <c r="E2127" s="217">
        <f t="shared" si="830"/>
        <v>628516906.63630009</v>
      </c>
    </row>
    <row r="2128" spans="1:6" ht="22.05" hidden="1" customHeight="1" outlineLevel="1">
      <c r="A2128" s="224" t="s">
        <v>1290</v>
      </c>
      <c r="B2128" s="217">
        <v>35647779.93</v>
      </c>
      <c r="C2128" s="217">
        <f t="shared" ref="C2128:E2128" si="831">C2142+C2154</f>
        <v>0</v>
      </c>
      <c r="D2128" s="217">
        <f t="shared" si="831"/>
        <v>0</v>
      </c>
      <c r="E2128" s="217">
        <f t="shared" si="831"/>
        <v>0</v>
      </c>
    </row>
    <row r="2129" spans="1:5" s="201" customFormat="1" ht="22.05" hidden="1" customHeight="1" outlineLevel="1">
      <c r="A2129" s="218" t="s">
        <v>1291</v>
      </c>
      <c r="B2129" s="215">
        <v>203171390</v>
      </c>
      <c r="C2129" s="215">
        <f>C2130+C2131</f>
        <v>100000000</v>
      </c>
      <c r="D2129" s="215">
        <f>D2130+D2131</f>
        <v>110000000.00000001</v>
      </c>
      <c r="E2129" s="215">
        <f>E2130+E2131</f>
        <v>121000000.00000003</v>
      </c>
    </row>
    <row r="2130" spans="1:5" ht="22.05" hidden="1" customHeight="1" outlineLevel="1">
      <c r="A2130" s="224" t="s">
        <v>1292</v>
      </c>
      <c r="B2130" s="217">
        <v>203171390</v>
      </c>
      <c r="C2130" s="217">
        <f>C2144+C2156</f>
        <v>100000000</v>
      </c>
      <c r="D2130" s="217">
        <f t="shared" ref="D2130:E2131" si="832">D2144+D2156</f>
        <v>110000000.00000001</v>
      </c>
      <c r="E2130" s="217">
        <f t="shared" si="832"/>
        <v>121000000.00000003</v>
      </c>
    </row>
    <row r="2131" spans="1:5" ht="22.05" hidden="1" customHeight="1" outlineLevel="1">
      <c r="A2131" s="224" t="s">
        <v>1293</v>
      </c>
      <c r="B2131" s="217">
        <v>0</v>
      </c>
      <c r="C2131" s="217">
        <f>C2145+C2157</f>
        <v>0</v>
      </c>
      <c r="D2131" s="217">
        <f t="shared" si="832"/>
        <v>0</v>
      </c>
      <c r="E2131" s="217">
        <f t="shared" si="832"/>
        <v>0</v>
      </c>
    </row>
    <row r="2132" spans="1:5" s="201" customFormat="1" ht="22.05" hidden="1" customHeight="1" outlineLevel="1">
      <c r="A2132" s="218" t="s">
        <v>1294</v>
      </c>
      <c r="B2132" s="215">
        <v>1247849948.0739999</v>
      </c>
      <c r="C2132" s="215">
        <f>C2125+C2129</f>
        <v>1107699946.0739999</v>
      </c>
      <c r="D2132" s="215">
        <f>D2125+D2129</f>
        <v>1218469940.6814001</v>
      </c>
      <c r="E2132" s="215">
        <f>E2125+E2129</f>
        <v>1340316934.7495403</v>
      </c>
    </row>
    <row r="2133" spans="1:5" ht="22.05" hidden="1" customHeight="1" outlineLevel="1">
      <c r="A2133" s="237"/>
    </row>
    <row r="2134" spans="1:5" ht="22.05" hidden="1" customHeight="1" outlineLevel="1">
      <c r="A2134" s="201" t="s">
        <v>1295</v>
      </c>
    </row>
    <row r="2135" spans="1:5" ht="22.05" hidden="1" customHeight="1" outlineLevel="1">
      <c r="A2135" s="201"/>
    </row>
    <row r="2136" spans="1:5" ht="22.05" hidden="1" customHeight="1" outlineLevel="1">
      <c r="A2136" s="201" t="s">
        <v>1597</v>
      </c>
    </row>
    <row r="2137" spans="1:5" ht="22.05" hidden="1" customHeight="1" outlineLevel="1">
      <c r="A2137" s="210" t="s">
        <v>1287</v>
      </c>
      <c r="B2137" s="822" t="s">
        <v>1257</v>
      </c>
      <c r="C2137" s="822" t="s">
        <v>1258</v>
      </c>
      <c r="D2137" s="824" t="s">
        <v>1259</v>
      </c>
      <c r="E2137" s="825"/>
    </row>
    <row r="2138" spans="1:5" ht="22.05" hidden="1" customHeight="1" outlineLevel="1">
      <c r="A2138" s="211"/>
      <c r="B2138" s="823"/>
      <c r="C2138" s="823"/>
      <c r="D2138" s="788" t="s">
        <v>1260</v>
      </c>
      <c r="E2138" s="788" t="s">
        <v>1261</v>
      </c>
    </row>
    <row r="2139" spans="1:5" ht="22.05" hidden="1" customHeight="1" outlineLevel="1">
      <c r="A2139" s="218" t="s">
        <v>1298</v>
      </c>
      <c r="B2139" s="215">
        <v>364748733.02999997</v>
      </c>
      <c r="C2139" s="215">
        <f>SUM(C2140:C2142)</f>
        <v>1007699946.074</v>
      </c>
      <c r="D2139" s="215">
        <f>SUM(D2140:D2142)</f>
        <v>1108469940.6814001</v>
      </c>
      <c r="E2139" s="215">
        <f>SUM(E2140:E2142)</f>
        <v>1219316934.7495403</v>
      </c>
    </row>
    <row r="2140" spans="1:5" ht="22.05" hidden="1" customHeight="1" outlineLevel="1">
      <c r="A2140" s="224" t="s">
        <v>1288</v>
      </c>
      <c r="B2140" s="217">
        <v>134203413</v>
      </c>
      <c r="C2140" s="217">
        <v>488264486.04400003</v>
      </c>
      <c r="D2140" s="217">
        <f>C2140*1.1</f>
        <v>537090934.64840007</v>
      </c>
      <c r="E2140" s="217">
        <f>D2140*1.1</f>
        <v>590800028.11324012</v>
      </c>
    </row>
    <row r="2141" spans="1:5" ht="22.05" hidden="1" customHeight="1" outlineLevel="1">
      <c r="A2141" s="224" t="s">
        <v>1289</v>
      </c>
      <c r="B2141" s="217">
        <v>197120540.09999999</v>
      </c>
      <c r="C2141" s="217">
        <v>519435460.02999997</v>
      </c>
      <c r="D2141" s="217">
        <f t="shared" ref="D2141:E2141" si="833">C2141*1.1</f>
        <v>571379006.03299999</v>
      </c>
      <c r="E2141" s="217">
        <f t="shared" si="833"/>
        <v>628516906.63630009</v>
      </c>
    </row>
    <row r="2142" spans="1:5" ht="22.05" hidden="1" customHeight="1" outlineLevel="1">
      <c r="A2142" s="224" t="s">
        <v>1290</v>
      </c>
      <c r="B2142" s="217">
        <v>33424779.93</v>
      </c>
      <c r="C2142" s="217"/>
      <c r="D2142" s="217">
        <f t="shared" ref="D2142:E2142" si="834">C2142*1.1</f>
        <v>0</v>
      </c>
      <c r="E2142" s="217">
        <f t="shared" si="834"/>
        <v>0</v>
      </c>
    </row>
    <row r="2143" spans="1:5" ht="22.05" hidden="1" customHeight="1" outlineLevel="1">
      <c r="A2143" s="218" t="s">
        <v>1291</v>
      </c>
      <c r="B2143" s="215">
        <v>79204882</v>
      </c>
      <c r="C2143" s="215">
        <f>C2144+C2145</f>
        <v>100000000</v>
      </c>
      <c r="D2143" s="215">
        <f t="shared" ref="D2143:E2143" si="835">D2144+D2145</f>
        <v>110000000.00000001</v>
      </c>
      <c r="E2143" s="215">
        <f t="shared" si="835"/>
        <v>121000000.00000003</v>
      </c>
    </row>
    <row r="2144" spans="1:5" ht="22.05" hidden="1" customHeight="1" outlineLevel="1">
      <c r="A2144" s="224" t="s">
        <v>1299</v>
      </c>
      <c r="B2144" s="217">
        <v>79204882</v>
      </c>
      <c r="C2144" s="217">
        <v>100000000</v>
      </c>
      <c r="D2144" s="217">
        <f t="shared" ref="D2144:E2144" si="836">C2144*1.1</f>
        <v>110000000.00000001</v>
      </c>
      <c r="E2144" s="217">
        <f t="shared" si="836"/>
        <v>121000000.00000003</v>
      </c>
    </row>
    <row r="2145" spans="1:5" ht="22.05" hidden="1" customHeight="1" outlineLevel="1">
      <c r="A2145" s="224" t="s">
        <v>1300</v>
      </c>
      <c r="B2145" s="217"/>
      <c r="C2145" s="217"/>
      <c r="D2145" s="217">
        <f t="shared" ref="D2145:E2145" si="837">C2145*1.1</f>
        <v>0</v>
      </c>
      <c r="E2145" s="217">
        <f t="shared" si="837"/>
        <v>0</v>
      </c>
    </row>
    <row r="2146" spans="1:5" ht="22.05" hidden="1" customHeight="1" outlineLevel="1">
      <c r="A2146" s="224" t="s">
        <v>1301</v>
      </c>
      <c r="B2146" s="215">
        <v>443953615.02999997</v>
      </c>
      <c r="C2146" s="215">
        <f>C2139+C2143</f>
        <v>1107699946.0739999</v>
      </c>
      <c r="D2146" s="215">
        <f>D2139+D2143</f>
        <v>1218469940.6814001</v>
      </c>
      <c r="E2146" s="215">
        <f>E2139+E2143</f>
        <v>1340316934.7495403</v>
      </c>
    </row>
    <row r="2147" spans="1:5" s="201" customFormat="1" ht="22.05" hidden="1" customHeight="1" outlineLevel="1">
      <c r="A2147" s="205"/>
      <c r="B2147" s="206"/>
      <c r="C2147" s="206"/>
      <c r="D2147" s="206"/>
      <c r="E2147" s="206"/>
    </row>
    <row r="2148" spans="1:5" s="201" customFormat="1" ht="22.05" hidden="1" customHeight="1" outlineLevel="1">
      <c r="A2148" s="201" t="s">
        <v>1596</v>
      </c>
      <c r="B2148" s="206"/>
      <c r="C2148" s="206"/>
      <c r="D2148" s="206"/>
      <c r="E2148" s="206"/>
    </row>
    <row r="2149" spans="1:5" ht="22.05" hidden="1" customHeight="1" outlineLevel="1">
      <c r="A2149" s="210" t="s">
        <v>1287</v>
      </c>
      <c r="B2149" s="822" t="s">
        <v>1257</v>
      </c>
      <c r="C2149" s="822" t="s">
        <v>1258</v>
      </c>
      <c r="D2149" s="824" t="s">
        <v>1259</v>
      </c>
      <c r="E2149" s="825"/>
    </row>
    <row r="2150" spans="1:5" ht="22.05" hidden="1" customHeight="1" outlineLevel="1">
      <c r="A2150" s="211"/>
      <c r="B2150" s="823"/>
      <c r="C2150" s="823"/>
      <c r="D2150" s="788" t="s">
        <v>1260</v>
      </c>
      <c r="E2150" s="788" t="s">
        <v>1261</v>
      </c>
    </row>
    <row r="2151" spans="1:5" ht="22.05" hidden="1" customHeight="1" outlineLevel="1">
      <c r="A2151" s="218" t="s">
        <v>1298</v>
      </c>
      <c r="B2151" s="215">
        <v>683429825.04400003</v>
      </c>
      <c r="C2151" s="215">
        <f>SUM(C2152:C2154)</f>
        <v>0</v>
      </c>
      <c r="D2151" s="215">
        <f>SUM(D2152:D2154)</f>
        <v>0</v>
      </c>
      <c r="E2151" s="215">
        <f>SUM(E2152:E2154)</f>
        <v>0</v>
      </c>
    </row>
    <row r="2152" spans="1:5" ht="22.05" hidden="1" customHeight="1" outlineLevel="1">
      <c r="A2152" s="224" t="s">
        <v>1288</v>
      </c>
      <c r="B2152" s="217">
        <v>340665914.04400003</v>
      </c>
      <c r="C2152" s="217"/>
      <c r="D2152" s="217"/>
      <c r="E2152" s="217"/>
    </row>
    <row r="2153" spans="1:5" ht="22.05" hidden="1" customHeight="1" outlineLevel="1">
      <c r="A2153" s="224" t="s">
        <v>1289</v>
      </c>
      <c r="B2153" s="217">
        <v>340540911</v>
      </c>
      <c r="C2153" s="217"/>
      <c r="D2153" s="217"/>
      <c r="E2153" s="217"/>
    </row>
    <row r="2154" spans="1:5" ht="22.05" hidden="1" customHeight="1" outlineLevel="1">
      <c r="A2154" s="224" t="s">
        <v>1290</v>
      </c>
      <c r="B2154" s="217">
        <v>2223000</v>
      </c>
      <c r="C2154" s="217"/>
      <c r="D2154" s="217"/>
      <c r="E2154" s="217"/>
    </row>
    <row r="2155" spans="1:5" ht="22.05" hidden="1" customHeight="1" outlineLevel="1">
      <c r="A2155" s="218" t="s">
        <v>1291</v>
      </c>
      <c r="B2155" s="215">
        <v>120466508</v>
      </c>
      <c r="C2155" s="215">
        <f>C2156+C2157</f>
        <v>0</v>
      </c>
      <c r="D2155" s="215">
        <f t="shared" ref="D2155:E2155" si="838">D2156+D2157</f>
        <v>0</v>
      </c>
      <c r="E2155" s="215">
        <f t="shared" si="838"/>
        <v>0</v>
      </c>
    </row>
    <row r="2156" spans="1:5" ht="22.05" hidden="1" customHeight="1" outlineLevel="1">
      <c r="A2156" s="224" t="s">
        <v>1299</v>
      </c>
      <c r="B2156" s="217">
        <v>120466508</v>
      </c>
      <c r="C2156" s="217"/>
      <c r="D2156" s="217">
        <f t="shared" ref="D2156:E2156" si="839">C2156*1.1</f>
        <v>0</v>
      </c>
      <c r="E2156" s="217">
        <f t="shared" si="839"/>
        <v>0</v>
      </c>
    </row>
    <row r="2157" spans="1:5" ht="22.05" hidden="1" customHeight="1" outlineLevel="1">
      <c r="A2157" s="224" t="s">
        <v>1300</v>
      </c>
      <c r="B2157" s="217">
        <v>0</v>
      </c>
      <c r="C2157" s="217">
        <v>0</v>
      </c>
      <c r="D2157" s="217">
        <f t="shared" ref="D2157:E2157" si="840">C2157*1.1</f>
        <v>0</v>
      </c>
      <c r="E2157" s="217">
        <f t="shared" si="840"/>
        <v>0</v>
      </c>
    </row>
    <row r="2158" spans="1:5" ht="22.05" hidden="1" customHeight="1" outlineLevel="1">
      <c r="A2158" s="218" t="s">
        <v>1301</v>
      </c>
      <c r="B2158" s="215">
        <v>803896333.04400003</v>
      </c>
      <c r="C2158" s="215">
        <f>C2151+C2155</f>
        <v>0</v>
      </c>
      <c r="D2158" s="215">
        <f>D2151+D2155</f>
        <v>0</v>
      </c>
      <c r="E2158" s="215">
        <f>E2151+E2155</f>
        <v>0</v>
      </c>
    </row>
    <row r="2159" spans="1:5" ht="22.05" hidden="1" customHeight="1" outlineLevel="1">
      <c r="A2159" s="201"/>
      <c r="B2159" s="208"/>
      <c r="C2159" s="208"/>
      <c r="D2159" s="208"/>
      <c r="E2159" s="208"/>
    </row>
    <row r="2160" spans="1:5" ht="22.05" customHeight="1" collapsed="1"/>
  </sheetData>
  <mergeCells count="459">
    <mergeCell ref="D5:E5"/>
    <mergeCell ref="D43:E43"/>
    <mergeCell ref="D57:E57"/>
    <mergeCell ref="D71:E71"/>
    <mergeCell ref="D85:E85"/>
    <mergeCell ref="D99:E99"/>
    <mergeCell ref="D112:E112"/>
    <mergeCell ref="D125:E125"/>
    <mergeCell ref="D139:E139"/>
    <mergeCell ref="D153:E153"/>
    <mergeCell ref="D167:E167"/>
    <mergeCell ref="D181:E181"/>
    <mergeCell ref="D195:E195"/>
    <mergeCell ref="D209:E209"/>
    <mergeCell ref="D222:E222"/>
    <mergeCell ref="D235:E235"/>
    <mergeCell ref="D248:E248"/>
    <mergeCell ref="D261:E261"/>
    <mergeCell ref="D274:E274"/>
    <mergeCell ref="D289:E289"/>
    <mergeCell ref="D303:E303"/>
    <mergeCell ref="D317:E317"/>
    <mergeCell ref="D330:E330"/>
    <mergeCell ref="D343:E343"/>
    <mergeCell ref="D356:E356"/>
    <mergeCell ref="D369:E369"/>
    <mergeCell ref="D382:E382"/>
    <mergeCell ref="D395:E395"/>
    <mergeCell ref="D410:E410"/>
    <mergeCell ref="D428:E428"/>
    <mergeCell ref="D442:E442"/>
    <mergeCell ref="D454:E454"/>
    <mergeCell ref="D468:E468"/>
    <mergeCell ref="D482:E482"/>
    <mergeCell ref="D496:E496"/>
    <mergeCell ref="D510:E510"/>
    <mergeCell ref="D523:E523"/>
    <mergeCell ref="D537:E537"/>
    <mergeCell ref="D551:E551"/>
    <mergeCell ref="D566:E566"/>
    <mergeCell ref="D579:E579"/>
    <mergeCell ref="D593:E593"/>
    <mergeCell ref="D608:E608"/>
    <mergeCell ref="D622:E622"/>
    <mergeCell ref="D635:E635"/>
    <mergeCell ref="D648:E648"/>
    <mergeCell ref="D662:E662"/>
    <mergeCell ref="D675:E675"/>
    <mergeCell ref="D699:E699"/>
    <mergeCell ref="D714:E714"/>
    <mergeCell ref="D727:E727"/>
    <mergeCell ref="D740:E740"/>
    <mergeCell ref="D753:E753"/>
    <mergeCell ref="D766:E766"/>
    <mergeCell ref="D778:E778"/>
    <mergeCell ref="D791:E791"/>
    <mergeCell ref="D805:E805"/>
    <mergeCell ref="D821:E821"/>
    <mergeCell ref="D834:E834"/>
    <mergeCell ref="D847:E847"/>
    <mergeCell ref="D860:E860"/>
    <mergeCell ref="D873:E873"/>
    <mergeCell ref="D885:E885"/>
    <mergeCell ref="D897:E897"/>
    <mergeCell ref="D909:E909"/>
    <mergeCell ref="D923:E923"/>
    <mergeCell ref="D938:E938"/>
    <mergeCell ref="D952:E952"/>
    <mergeCell ref="D966:E966"/>
    <mergeCell ref="D980:E980"/>
    <mergeCell ref="D992:E992"/>
    <mergeCell ref="D1005:E1005"/>
    <mergeCell ref="D1017:E1017"/>
    <mergeCell ref="D1031:E1031"/>
    <mergeCell ref="D1055:E1055"/>
    <mergeCell ref="D1070:E1070"/>
    <mergeCell ref="D1084:E1084"/>
    <mergeCell ref="D1097:E1097"/>
    <mergeCell ref="D1111:E1111"/>
    <mergeCell ref="D1125:E1125"/>
    <mergeCell ref="D1139:E1139"/>
    <mergeCell ref="D1153:E1153"/>
    <mergeCell ref="D1167:E1167"/>
    <mergeCell ref="D1180:E1180"/>
    <mergeCell ref="D1192:E1192"/>
    <mergeCell ref="D1206:E1206"/>
    <mergeCell ref="D1220:E1220"/>
    <mergeCell ref="D1234:E1234"/>
    <mergeCell ref="D1255:E1255"/>
    <mergeCell ref="D1270:E1270"/>
    <mergeCell ref="D1283:E1283"/>
    <mergeCell ref="D1297:E1297"/>
    <mergeCell ref="D1310:E1310"/>
    <mergeCell ref="D1322:E1322"/>
    <mergeCell ref="D1334:E1334"/>
    <mergeCell ref="D1348:E1348"/>
    <mergeCell ref="D1361:E1361"/>
    <mergeCell ref="D1373:E1373"/>
    <mergeCell ref="D1387:E1387"/>
    <mergeCell ref="D1405:E1405"/>
    <mergeCell ref="D1420:E1420"/>
    <mergeCell ref="D1434:E1434"/>
    <mergeCell ref="D1447:E1447"/>
    <mergeCell ref="D1460:E1460"/>
    <mergeCell ref="D1474:E1474"/>
    <mergeCell ref="D1487:E1487"/>
    <mergeCell ref="D1500:E1500"/>
    <mergeCell ref="D1512:E1512"/>
    <mergeCell ref="D1528:E1528"/>
    <mergeCell ref="D1550:E1550"/>
    <mergeCell ref="D1567:E1567"/>
    <mergeCell ref="D1583:E1583"/>
    <mergeCell ref="D1598:E1598"/>
    <mergeCell ref="D1611:E1611"/>
    <mergeCell ref="D1625:E1625"/>
    <mergeCell ref="D1640:E1640"/>
    <mergeCell ref="D1654:E1654"/>
    <mergeCell ref="D1666:E1666"/>
    <mergeCell ref="D1679:E1679"/>
    <mergeCell ref="D1694:E1694"/>
    <mergeCell ref="D1710:E1710"/>
    <mergeCell ref="D1724:E1724"/>
    <mergeCell ref="D1738:E1738"/>
    <mergeCell ref="D1750:E1750"/>
    <mergeCell ref="D1763:E1763"/>
    <mergeCell ref="D1776:E1776"/>
    <mergeCell ref="D1790:E1790"/>
    <mergeCell ref="D1810:E1810"/>
    <mergeCell ref="D1826:E1826"/>
    <mergeCell ref="D1840:E1840"/>
    <mergeCell ref="D1854:E1854"/>
    <mergeCell ref="D1867:E1867"/>
    <mergeCell ref="D1882:E1882"/>
    <mergeCell ref="D1895:E1895"/>
    <mergeCell ref="D1911:E1911"/>
    <mergeCell ref="D1928:E1928"/>
    <mergeCell ref="D1943:E1943"/>
    <mergeCell ref="D1957:E1957"/>
    <mergeCell ref="D1970:E1970"/>
    <mergeCell ref="D1982:E1982"/>
    <mergeCell ref="D1994:E1994"/>
    <mergeCell ref="D2006:E2006"/>
    <mergeCell ref="D2019:E2019"/>
    <mergeCell ref="D2033:E2033"/>
    <mergeCell ref="D2047:E2047"/>
    <mergeCell ref="D2062:E2062"/>
    <mergeCell ref="D2075:E2075"/>
    <mergeCell ref="D2088:E2088"/>
    <mergeCell ref="D2101:E2101"/>
    <mergeCell ref="D2114:E2114"/>
    <mergeCell ref="D2123:E2123"/>
    <mergeCell ref="D2137:E2137"/>
    <mergeCell ref="D2149:E2149"/>
    <mergeCell ref="B5:B6"/>
    <mergeCell ref="B43:B44"/>
    <mergeCell ref="B57:B58"/>
    <mergeCell ref="B71:B72"/>
    <mergeCell ref="B85:B86"/>
    <mergeCell ref="B99:B100"/>
    <mergeCell ref="B112:B113"/>
    <mergeCell ref="B125:B126"/>
    <mergeCell ref="B139:B140"/>
    <mergeCell ref="B153:B154"/>
    <mergeCell ref="B167:B168"/>
    <mergeCell ref="B181:B182"/>
    <mergeCell ref="B195:B196"/>
    <mergeCell ref="B209:B210"/>
    <mergeCell ref="B222:B223"/>
    <mergeCell ref="B235:B236"/>
    <mergeCell ref="B248:B249"/>
    <mergeCell ref="B261:B262"/>
    <mergeCell ref="B274:B275"/>
    <mergeCell ref="B289:B290"/>
    <mergeCell ref="B303:B304"/>
    <mergeCell ref="B317:B318"/>
    <mergeCell ref="B330:B331"/>
    <mergeCell ref="B343:B344"/>
    <mergeCell ref="B356:B357"/>
    <mergeCell ref="B369:B370"/>
    <mergeCell ref="B382:B383"/>
    <mergeCell ref="B395:B396"/>
    <mergeCell ref="B410:B411"/>
    <mergeCell ref="B428:B429"/>
    <mergeCell ref="B442:B443"/>
    <mergeCell ref="B454:B455"/>
    <mergeCell ref="B468:B469"/>
    <mergeCell ref="B482:B483"/>
    <mergeCell ref="B496:B497"/>
    <mergeCell ref="B510:B511"/>
    <mergeCell ref="B523:B524"/>
    <mergeCell ref="B537:B538"/>
    <mergeCell ref="B551:B552"/>
    <mergeCell ref="B566:B567"/>
    <mergeCell ref="B579:B580"/>
    <mergeCell ref="B593:B594"/>
    <mergeCell ref="B608:B609"/>
    <mergeCell ref="B622:B623"/>
    <mergeCell ref="B635:B636"/>
    <mergeCell ref="B648:B649"/>
    <mergeCell ref="B662:B663"/>
    <mergeCell ref="B675:B676"/>
    <mergeCell ref="B699:B700"/>
    <mergeCell ref="B714:B715"/>
    <mergeCell ref="B727:B728"/>
    <mergeCell ref="B740:B741"/>
    <mergeCell ref="B753:B754"/>
    <mergeCell ref="B766:B767"/>
    <mergeCell ref="B778:B779"/>
    <mergeCell ref="B791:B792"/>
    <mergeCell ref="B805:B806"/>
    <mergeCell ref="B821:B822"/>
    <mergeCell ref="B834:B835"/>
    <mergeCell ref="B847:B848"/>
    <mergeCell ref="B860:B861"/>
    <mergeCell ref="B873:B874"/>
    <mergeCell ref="B885:B886"/>
    <mergeCell ref="B897:B898"/>
    <mergeCell ref="B909:B910"/>
    <mergeCell ref="B923:B924"/>
    <mergeCell ref="B938:B939"/>
    <mergeCell ref="B952:B953"/>
    <mergeCell ref="B966:B967"/>
    <mergeCell ref="B980:B981"/>
    <mergeCell ref="B992:B993"/>
    <mergeCell ref="B1005:B1006"/>
    <mergeCell ref="B1017:B1018"/>
    <mergeCell ref="B1031:B1032"/>
    <mergeCell ref="B1055:B1056"/>
    <mergeCell ref="B1070:B1071"/>
    <mergeCell ref="B1084:B1085"/>
    <mergeCell ref="B1097:B1098"/>
    <mergeCell ref="B1111:B1112"/>
    <mergeCell ref="B1125:B1126"/>
    <mergeCell ref="B1139:B1140"/>
    <mergeCell ref="B1153:B1154"/>
    <mergeCell ref="B1167:B1168"/>
    <mergeCell ref="B1180:B1181"/>
    <mergeCell ref="B1192:B1193"/>
    <mergeCell ref="B1206:B1207"/>
    <mergeCell ref="B1220:B1221"/>
    <mergeCell ref="B1234:B1235"/>
    <mergeCell ref="B1255:B1256"/>
    <mergeCell ref="B1270:B1271"/>
    <mergeCell ref="B1283:B1284"/>
    <mergeCell ref="B1297:B1298"/>
    <mergeCell ref="B1310:B1311"/>
    <mergeCell ref="B1322:B1323"/>
    <mergeCell ref="B1334:B1335"/>
    <mergeCell ref="B1348:B1349"/>
    <mergeCell ref="B1361:B1362"/>
    <mergeCell ref="B1373:B1374"/>
    <mergeCell ref="B1387:B1388"/>
    <mergeCell ref="B1405:B1406"/>
    <mergeCell ref="B1420:B1421"/>
    <mergeCell ref="B1434:B1435"/>
    <mergeCell ref="B1447:B1448"/>
    <mergeCell ref="B1460:B1461"/>
    <mergeCell ref="B1474:B1475"/>
    <mergeCell ref="B1487:B1488"/>
    <mergeCell ref="B1500:B1501"/>
    <mergeCell ref="B1512:B1513"/>
    <mergeCell ref="B1528:B1529"/>
    <mergeCell ref="B1550:B1551"/>
    <mergeCell ref="B1567:B1568"/>
    <mergeCell ref="B1583:B1584"/>
    <mergeCell ref="B1598:B1599"/>
    <mergeCell ref="B1611:B1612"/>
    <mergeCell ref="B1625:B1626"/>
    <mergeCell ref="B1640:B1641"/>
    <mergeCell ref="B1654:B1655"/>
    <mergeCell ref="B1666:B1667"/>
    <mergeCell ref="B1679:B1680"/>
    <mergeCell ref="B1694:B1695"/>
    <mergeCell ref="B1710:B1711"/>
    <mergeCell ref="B1724:B1725"/>
    <mergeCell ref="B1738:B1739"/>
    <mergeCell ref="B1750:B1751"/>
    <mergeCell ref="B1763:B1764"/>
    <mergeCell ref="B1776:B1777"/>
    <mergeCell ref="B1790:B1791"/>
    <mergeCell ref="B1810:B1811"/>
    <mergeCell ref="B1826:B1827"/>
    <mergeCell ref="B1840:B1841"/>
    <mergeCell ref="B1854:B1855"/>
    <mergeCell ref="B1867:B1868"/>
    <mergeCell ref="B1882:B1883"/>
    <mergeCell ref="B1895:B1896"/>
    <mergeCell ref="B1911:B1912"/>
    <mergeCell ref="B1928:B1929"/>
    <mergeCell ref="B1943:B1944"/>
    <mergeCell ref="B1957:B1958"/>
    <mergeCell ref="B1970:B1971"/>
    <mergeCell ref="B1982:B1983"/>
    <mergeCell ref="B1994:B1995"/>
    <mergeCell ref="B2006:B2007"/>
    <mergeCell ref="B2019:B2020"/>
    <mergeCell ref="B2033:B2034"/>
    <mergeCell ref="B2047:B2048"/>
    <mergeCell ref="B2062:B2063"/>
    <mergeCell ref="B2075:B2076"/>
    <mergeCell ref="B2088:B2089"/>
    <mergeCell ref="B2101:B2102"/>
    <mergeCell ref="B2114:B2115"/>
    <mergeCell ref="B2123:B2124"/>
    <mergeCell ref="B2137:B2138"/>
    <mergeCell ref="B2149:B2150"/>
    <mergeCell ref="C5:C6"/>
    <mergeCell ref="C43:C44"/>
    <mergeCell ref="C57:C58"/>
    <mergeCell ref="C71:C72"/>
    <mergeCell ref="C85:C86"/>
    <mergeCell ref="C99:C100"/>
    <mergeCell ref="C112:C113"/>
    <mergeCell ref="C125:C126"/>
    <mergeCell ref="C139:C140"/>
    <mergeCell ref="C153:C154"/>
    <mergeCell ref="C167:C168"/>
    <mergeCell ref="C181:C182"/>
    <mergeCell ref="C195:C196"/>
    <mergeCell ref="C209:C210"/>
    <mergeCell ref="C222:C223"/>
    <mergeCell ref="C235:C236"/>
    <mergeCell ref="C248:C249"/>
    <mergeCell ref="C261:C262"/>
    <mergeCell ref="C274:C275"/>
    <mergeCell ref="C289:C290"/>
    <mergeCell ref="C303:C304"/>
    <mergeCell ref="C317:C318"/>
    <mergeCell ref="C330:C331"/>
    <mergeCell ref="C343:C344"/>
    <mergeCell ref="C356:C357"/>
    <mergeCell ref="C369:C370"/>
    <mergeCell ref="C382:C383"/>
    <mergeCell ref="C395:C396"/>
    <mergeCell ref="C410:C411"/>
    <mergeCell ref="C428:C429"/>
    <mergeCell ref="C442:C443"/>
    <mergeCell ref="C454:C455"/>
    <mergeCell ref="C468:C469"/>
    <mergeCell ref="C482:C483"/>
    <mergeCell ref="C496:C497"/>
    <mergeCell ref="C510:C511"/>
    <mergeCell ref="C523:C524"/>
    <mergeCell ref="C537:C538"/>
    <mergeCell ref="C551:C552"/>
    <mergeCell ref="C566:C567"/>
    <mergeCell ref="C579:C580"/>
    <mergeCell ref="C593:C594"/>
    <mergeCell ref="C608:C609"/>
    <mergeCell ref="C622:C623"/>
    <mergeCell ref="C635:C636"/>
    <mergeCell ref="C648:C649"/>
    <mergeCell ref="C662:C663"/>
    <mergeCell ref="C675:C676"/>
    <mergeCell ref="C699:C700"/>
    <mergeCell ref="C714:C715"/>
    <mergeCell ref="C727:C728"/>
    <mergeCell ref="C740:C741"/>
    <mergeCell ref="C753:C754"/>
    <mergeCell ref="C766:C767"/>
    <mergeCell ref="C778:C779"/>
    <mergeCell ref="C791:C792"/>
    <mergeCell ref="C805:C806"/>
    <mergeCell ref="C821:C822"/>
    <mergeCell ref="C834:C835"/>
    <mergeCell ref="C847:C848"/>
    <mergeCell ref="C860:C861"/>
    <mergeCell ref="C873:C874"/>
    <mergeCell ref="C885:C886"/>
    <mergeCell ref="C897:C898"/>
    <mergeCell ref="C909:C910"/>
    <mergeCell ref="C923:C924"/>
    <mergeCell ref="C938:C939"/>
    <mergeCell ref="C952:C953"/>
    <mergeCell ref="C966:C967"/>
    <mergeCell ref="C980:C981"/>
    <mergeCell ref="C992:C993"/>
    <mergeCell ref="C1005:C1006"/>
    <mergeCell ref="C1017:C1018"/>
    <mergeCell ref="C1031:C1032"/>
    <mergeCell ref="C1055:C1056"/>
    <mergeCell ref="C1070:C1071"/>
    <mergeCell ref="C1084:C1085"/>
    <mergeCell ref="C1097:C1098"/>
    <mergeCell ref="C1111:C1112"/>
    <mergeCell ref="C1125:C1126"/>
    <mergeCell ref="C1139:C1140"/>
    <mergeCell ref="C1153:C1154"/>
    <mergeCell ref="C1167:C1168"/>
    <mergeCell ref="C1180:C1181"/>
    <mergeCell ref="C1192:C1193"/>
    <mergeCell ref="C1206:C1207"/>
    <mergeCell ref="C1220:C1221"/>
    <mergeCell ref="C1234:C1235"/>
    <mergeCell ref="C1255:C1256"/>
    <mergeCell ref="C1270:C1271"/>
    <mergeCell ref="C1283:C1284"/>
    <mergeCell ref="C1297:C1298"/>
    <mergeCell ref="C1310:C1311"/>
    <mergeCell ref="C1322:C1323"/>
    <mergeCell ref="C1334:C1335"/>
    <mergeCell ref="C1348:C1349"/>
    <mergeCell ref="C1361:C1362"/>
    <mergeCell ref="C1373:C1374"/>
    <mergeCell ref="C1387:C1388"/>
    <mergeCell ref="C1405:C1406"/>
    <mergeCell ref="C1420:C1421"/>
    <mergeCell ref="C1434:C1435"/>
    <mergeCell ref="C1447:C1448"/>
    <mergeCell ref="C1460:C1461"/>
    <mergeCell ref="C1474:C1475"/>
    <mergeCell ref="C1487:C1488"/>
    <mergeCell ref="C1500:C1501"/>
    <mergeCell ref="C1512:C1513"/>
    <mergeCell ref="C1528:C1529"/>
    <mergeCell ref="C1550:C1551"/>
    <mergeCell ref="C1567:C1568"/>
    <mergeCell ref="C1583:C1584"/>
    <mergeCell ref="C1598:C1599"/>
    <mergeCell ref="C1611:C1612"/>
    <mergeCell ref="C1625:C1626"/>
    <mergeCell ref="C1640:C1641"/>
    <mergeCell ref="C1654:C1655"/>
    <mergeCell ref="C1666:C1667"/>
    <mergeCell ref="C1679:C1680"/>
    <mergeCell ref="C1694:C1695"/>
    <mergeCell ref="C1710:C1711"/>
    <mergeCell ref="C1724:C1725"/>
    <mergeCell ref="C1738:C1739"/>
    <mergeCell ref="C1750:C1751"/>
    <mergeCell ref="C1763:C1764"/>
    <mergeCell ref="C1776:C1777"/>
    <mergeCell ref="C1790:C1791"/>
    <mergeCell ref="C1810:C1811"/>
    <mergeCell ref="C1826:C1827"/>
    <mergeCell ref="C1840:C1841"/>
    <mergeCell ref="C1854:C1855"/>
    <mergeCell ref="C1867:C1868"/>
    <mergeCell ref="C1882:C1883"/>
    <mergeCell ref="C1895:C1896"/>
    <mergeCell ref="C1911:C1912"/>
    <mergeCell ref="C1928:C1929"/>
    <mergeCell ref="C1943:C1944"/>
    <mergeCell ref="C1957:C1958"/>
    <mergeCell ref="C1970:C1971"/>
    <mergeCell ref="C1982:C1983"/>
    <mergeCell ref="C1994:C1995"/>
    <mergeCell ref="C2006:C2007"/>
    <mergeCell ref="C2019:C2020"/>
    <mergeCell ref="C2033:C2034"/>
    <mergeCell ref="C2047:C2048"/>
    <mergeCell ref="C2062:C2063"/>
    <mergeCell ref="C2075:C2076"/>
    <mergeCell ref="C2088:C2089"/>
    <mergeCell ref="C2101:C2102"/>
    <mergeCell ref="C2114:C2115"/>
    <mergeCell ref="C2123:C2124"/>
    <mergeCell ref="C2137:C2138"/>
    <mergeCell ref="C2149:C2150"/>
  </mergeCells>
  <pageMargins left="0.7" right="0.7" top="0.75" bottom="0.75" header="0.3" footer="0.3"/>
  <pageSetup orientation="portrait"/>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145"/>
  <sheetViews>
    <sheetView topLeftCell="A136" zoomScale="85" zoomScaleNormal="85" workbookViewId="0">
      <selection activeCell="C145" sqref="C145"/>
    </sheetView>
  </sheetViews>
  <sheetFormatPr defaultColWidth="8.53125" defaultRowHeight="20.25"/>
  <cols>
    <col min="1" max="1" width="20" style="174" customWidth="1"/>
    <col min="2" max="2" width="69.19921875" style="175" customWidth="1"/>
    <col min="3" max="3" width="24.33203125" style="175" customWidth="1"/>
    <col min="4" max="4" width="24.53125" style="175" customWidth="1"/>
    <col min="5" max="5" width="21.53125" style="175" customWidth="1"/>
    <col min="6" max="6" width="8.53125" style="175"/>
    <col min="7" max="7" width="14.19921875" style="175" customWidth="1"/>
    <col min="8" max="16384" width="8.53125" style="175"/>
  </cols>
  <sheetData>
    <row r="1" spans="1:5">
      <c r="A1" s="827" t="s">
        <v>1598</v>
      </c>
      <c r="B1" s="827"/>
      <c r="C1" s="827"/>
      <c r="D1" s="827"/>
      <c r="E1" s="827"/>
    </row>
    <row r="2" spans="1:5">
      <c r="A2" s="828" t="s">
        <v>1254</v>
      </c>
      <c r="B2" s="828"/>
      <c r="C2" s="828"/>
      <c r="D2" s="828"/>
      <c r="E2" s="828"/>
    </row>
    <row r="3" spans="1:5">
      <c r="A3" s="828" t="s">
        <v>1599</v>
      </c>
      <c r="B3" s="828"/>
      <c r="C3" s="828"/>
      <c r="D3" s="828"/>
      <c r="E3" s="828"/>
    </row>
    <row r="4" spans="1:5" s="172" customFormat="1" ht="34.5">
      <c r="A4" s="829" t="s">
        <v>1600</v>
      </c>
      <c r="B4" s="829" t="s">
        <v>1601</v>
      </c>
      <c r="C4" s="176" t="s">
        <v>1602</v>
      </c>
      <c r="D4" s="176" t="s">
        <v>1603</v>
      </c>
      <c r="E4" s="176" t="s">
        <v>550</v>
      </c>
    </row>
    <row r="5" spans="1:5">
      <c r="A5" s="829"/>
      <c r="B5" s="829"/>
      <c r="C5" s="176" t="s">
        <v>1604</v>
      </c>
      <c r="D5" s="176" t="s">
        <v>1604</v>
      </c>
      <c r="E5" s="176" t="s">
        <v>1604</v>
      </c>
    </row>
    <row r="6" spans="1:5">
      <c r="A6" s="826" t="s">
        <v>1605</v>
      </c>
      <c r="B6" s="177" t="s">
        <v>1606</v>
      </c>
      <c r="C6" s="178">
        <f>SUM(C7:C23)</f>
        <v>1427495823.9082527</v>
      </c>
      <c r="D6" s="178">
        <f>SUM(D7:D23)</f>
        <v>935279423.52523994</v>
      </c>
      <c r="E6" s="178">
        <f>C6+D6</f>
        <v>2362775247.4334927</v>
      </c>
    </row>
    <row r="7" spans="1:5" ht="35.25">
      <c r="A7" s="826"/>
      <c r="B7" s="179" t="s">
        <v>1263</v>
      </c>
      <c r="C7" s="180">
        <f>Tables!C59</f>
        <v>1057673722</v>
      </c>
      <c r="D7" s="180">
        <f>Tables!C64</f>
        <v>899500000</v>
      </c>
      <c r="E7" s="180">
        <f>C7+D7</f>
        <v>1957173722</v>
      </c>
    </row>
    <row r="8" spans="1:5">
      <c r="A8" s="826"/>
      <c r="B8" s="179" t="s">
        <v>1265</v>
      </c>
      <c r="C8" s="180">
        <f>Tables!C73</f>
        <v>12220000</v>
      </c>
      <c r="D8" s="180">
        <f>Tables!C77</f>
        <v>0</v>
      </c>
      <c r="E8" s="180">
        <f t="shared" ref="E8:E26" si="0">C8+D8</f>
        <v>12220000</v>
      </c>
    </row>
    <row r="9" spans="1:5">
      <c r="A9" s="826"/>
      <c r="B9" s="181" t="s">
        <v>1267</v>
      </c>
      <c r="C9" s="180">
        <f>Tables!C87</f>
        <v>15720000</v>
      </c>
      <c r="D9" s="180">
        <f>Tables!C91</f>
        <v>0</v>
      </c>
      <c r="E9" s="180">
        <f t="shared" si="0"/>
        <v>15720000</v>
      </c>
    </row>
    <row r="10" spans="1:5">
      <c r="A10" s="826"/>
      <c r="B10" s="182" t="s">
        <v>1269</v>
      </c>
      <c r="C10" s="180">
        <f>Tables!C101</f>
        <v>0</v>
      </c>
      <c r="D10" s="180">
        <f>Tables!C105</f>
        <v>0</v>
      </c>
      <c r="E10" s="180">
        <f t="shared" si="0"/>
        <v>0</v>
      </c>
    </row>
    <row r="11" spans="1:5">
      <c r="A11" s="826"/>
      <c r="B11" s="181" t="s">
        <v>1271</v>
      </c>
      <c r="C11" s="180">
        <f>Tables!C114</f>
        <v>10680000</v>
      </c>
      <c r="D11" s="180">
        <f>Tables!C118</f>
        <v>0</v>
      </c>
      <c r="E11" s="180">
        <f t="shared" si="0"/>
        <v>10680000</v>
      </c>
    </row>
    <row r="12" spans="1:5">
      <c r="A12" s="826"/>
      <c r="B12" s="181" t="s">
        <v>1273</v>
      </c>
      <c r="C12" s="180">
        <f>Tables!C127</f>
        <v>12480000</v>
      </c>
      <c r="D12" s="180">
        <f>Tables!C131</f>
        <v>0</v>
      </c>
      <c r="E12" s="180">
        <f t="shared" si="0"/>
        <v>12480000</v>
      </c>
    </row>
    <row r="13" spans="1:5" ht="35.25">
      <c r="A13" s="826"/>
      <c r="B13" s="182" t="s">
        <v>1276</v>
      </c>
      <c r="C13" s="180">
        <f>Tables!C141</f>
        <v>37370999.908252716</v>
      </c>
      <c r="D13" s="180">
        <f>Tables!C145</f>
        <v>0</v>
      </c>
      <c r="E13" s="180">
        <f t="shared" si="0"/>
        <v>37370999.908252716</v>
      </c>
    </row>
    <row r="14" spans="1:5">
      <c r="A14" s="826"/>
      <c r="B14" s="179" t="s">
        <v>1607</v>
      </c>
      <c r="C14" s="180">
        <f>Tables!C169</f>
        <v>13165000</v>
      </c>
      <c r="D14" s="180">
        <f>Tables!C173</f>
        <v>0</v>
      </c>
      <c r="E14" s="180">
        <f t="shared" si="0"/>
        <v>13165000</v>
      </c>
    </row>
    <row r="15" spans="1:5">
      <c r="A15" s="826"/>
      <c r="B15" s="182" t="s">
        <v>136</v>
      </c>
      <c r="C15" s="180">
        <f>Tables!C183</f>
        <v>8849100</v>
      </c>
      <c r="D15" s="180">
        <f>Tables!C187</f>
        <v>0</v>
      </c>
      <c r="E15" s="180">
        <f t="shared" si="0"/>
        <v>8849100</v>
      </c>
    </row>
    <row r="16" spans="1:5">
      <c r="A16" s="826"/>
      <c r="B16" s="183" t="s">
        <v>137</v>
      </c>
      <c r="C16" s="180">
        <f>Tables!C197</f>
        <v>53793360</v>
      </c>
      <c r="D16" s="180">
        <f>Tables!C201</f>
        <v>0</v>
      </c>
      <c r="E16" s="180">
        <f t="shared" si="0"/>
        <v>53793360</v>
      </c>
    </row>
    <row r="17" spans="1:5">
      <c r="A17" s="826"/>
      <c r="B17" s="184" t="s">
        <v>1608</v>
      </c>
      <c r="C17" s="180">
        <f>Tables!C211</f>
        <v>10391500</v>
      </c>
      <c r="D17" s="180">
        <f>Tables!C215</f>
        <v>0</v>
      </c>
      <c r="E17" s="180">
        <f t="shared" si="0"/>
        <v>10391500</v>
      </c>
    </row>
    <row r="18" spans="1:5">
      <c r="A18" s="826"/>
      <c r="B18" s="183" t="s">
        <v>1278</v>
      </c>
      <c r="C18" s="179">
        <f>Tables!C224</f>
        <v>11152000</v>
      </c>
      <c r="D18" s="179">
        <f>Tables!C228</f>
        <v>0</v>
      </c>
      <c r="E18" s="180">
        <f t="shared" si="0"/>
        <v>11152000</v>
      </c>
    </row>
    <row r="19" spans="1:5">
      <c r="A19" s="826"/>
      <c r="B19" s="184" t="s">
        <v>1279</v>
      </c>
      <c r="C19" s="180">
        <f>Tables!C237</f>
        <v>33762360</v>
      </c>
      <c r="D19" s="180">
        <f>Tables!C241</f>
        <v>0</v>
      </c>
      <c r="E19" s="180">
        <f t="shared" si="0"/>
        <v>33762360</v>
      </c>
    </row>
    <row r="20" spans="1:5">
      <c r="A20" s="826"/>
      <c r="B20" s="184" t="s">
        <v>1280</v>
      </c>
      <c r="C20" s="180">
        <f>Tables!C250</f>
        <v>13320540</v>
      </c>
      <c r="D20" s="180">
        <f>Tables!C254</f>
        <v>0</v>
      </c>
      <c r="E20" s="180">
        <f t="shared" si="0"/>
        <v>13320540</v>
      </c>
    </row>
    <row r="21" spans="1:5" ht="35.25">
      <c r="A21" s="826"/>
      <c r="B21" s="179" t="s">
        <v>1609</v>
      </c>
      <c r="C21" s="180">
        <f>Tables!C263</f>
        <v>79187542</v>
      </c>
      <c r="D21" s="180">
        <f>Tables!C267</f>
        <v>35779423.525239944</v>
      </c>
      <c r="E21" s="180">
        <f t="shared" si="0"/>
        <v>114966965.52523994</v>
      </c>
    </row>
    <row r="22" spans="1:5">
      <c r="A22" s="826"/>
      <c r="B22" s="179" t="s">
        <v>1284</v>
      </c>
      <c r="C22" s="180">
        <f>Tables!C276</f>
        <v>30029700</v>
      </c>
      <c r="D22" s="180">
        <f>Tables!C280</f>
        <v>0</v>
      </c>
      <c r="E22" s="180">
        <f t="shared" si="0"/>
        <v>30029700</v>
      </c>
    </row>
    <row r="23" spans="1:5">
      <c r="A23" s="826"/>
      <c r="B23" s="179" t="s">
        <v>1306</v>
      </c>
      <c r="C23" s="180">
        <f>Tables!C155</f>
        <v>27700000</v>
      </c>
      <c r="D23" s="180">
        <f>Tables!C159</f>
        <v>0</v>
      </c>
      <c r="E23" s="180">
        <f t="shared" si="0"/>
        <v>27700000</v>
      </c>
    </row>
    <row r="24" spans="1:5">
      <c r="A24" s="826" t="s">
        <v>1610</v>
      </c>
      <c r="B24" s="177" t="s">
        <v>1606</v>
      </c>
      <c r="C24" s="178">
        <f>SUM(C25:C30)</f>
        <v>154206587.00099999</v>
      </c>
      <c r="D24" s="178">
        <f>SUM(D25:D30)</f>
        <v>43502808</v>
      </c>
      <c r="E24" s="178">
        <f t="shared" si="0"/>
        <v>197709395.00099999</v>
      </c>
    </row>
    <row r="25" spans="1:5" ht="35.25">
      <c r="A25" s="826"/>
      <c r="B25" s="179" t="s">
        <v>1263</v>
      </c>
      <c r="C25" s="180">
        <f>Tables!C319</f>
        <v>32407771.09</v>
      </c>
      <c r="D25" s="180">
        <f>Tables!C323</f>
        <v>0</v>
      </c>
      <c r="E25" s="180">
        <f t="shared" si="0"/>
        <v>32407771.09</v>
      </c>
    </row>
    <row r="26" spans="1:5">
      <c r="A26" s="826"/>
      <c r="B26" s="179" t="s">
        <v>1324</v>
      </c>
      <c r="C26" s="180">
        <f>Tables!C332</f>
        <v>24480343.037</v>
      </c>
      <c r="D26" s="180">
        <f>Tables!C336</f>
        <v>6000000</v>
      </c>
      <c r="E26" s="180">
        <f t="shared" si="0"/>
        <v>30480343.037</v>
      </c>
    </row>
    <row r="27" spans="1:5">
      <c r="A27" s="826"/>
      <c r="B27" s="179" t="s">
        <v>1611</v>
      </c>
      <c r="C27" s="180">
        <f>Tables!C345</f>
        <v>37103304.274000004</v>
      </c>
      <c r="D27" s="180">
        <f>Tables!C349</f>
        <v>2900000</v>
      </c>
      <c r="E27" s="180">
        <f t="shared" ref="E27:E129" si="1">C27+D27</f>
        <v>40003304.274000004</v>
      </c>
    </row>
    <row r="28" spans="1:5">
      <c r="A28" s="826"/>
      <c r="B28" s="179" t="s">
        <v>270</v>
      </c>
      <c r="C28" s="180">
        <f>Tables!C358</f>
        <v>8177303.7999999998</v>
      </c>
      <c r="D28" s="180">
        <f>Tables!C362</f>
        <v>14900000</v>
      </c>
      <c r="E28" s="180">
        <f t="shared" si="1"/>
        <v>23077303.800000001</v>
      </c>
    </row>
    <row r="29" spans="1:5">
      <c r="A29" s="826"/>
      <c r="B29" s="179" t="s">
        <v>1612</v>
      </c>
      <c r="C29" s="180">
        <f>Tables!C371</f>
        <v>40511166.600000001</v>
      </c>
      <c r="D29" s="180">
        <f>Tables!C375</f>
        <v>0</v>
      </c>
      <c r="E29" s="180">
        <f t="shared" si="1"/>
        <v>40511166.600000001</v>
      </c>
    </row>
    <row r="30" spans="1:5">
      <c r="A30" s="826"/>
      <c r="B30" s="179" t="s">
        <v>1321</v>
      </c>
      <c r="C30" s="180">
        <f>Tables!C384</f>
        <v>11526698.199999999</v>
      </c>
      <c r="D30" s="180">
        <f>Tables!C388</f>
        <v>19702808</v>
      </c>
      <c r="E30" s="180">
        <f t="shared" si="1"/>
        <v>31229506.199999999</v>
      </c>
    </row>
    <row r="31" spans="1:5" s="173" customFormat="1" ht="19.899999999999999">
      <c r="A31" s="826" t="s">
        <v>1613</v>
      </c>
      <c r="B31" s="177" t="s">
        <v>1606</v>
      </c>
      <c r="C31" s="178">
        <f>SUM(C32:C36)</f>
        <v>171683830</v>
      </c>
      <c r="D31" s="178">
        <f t="shared" ref="D31" si="2">SUM(D32:D36)</f>
        <v>770866186</v>
      </c>
      <c r="E31" s="178">
        <f t="shared" si="1"/>
        <v>942550016</v>
      </c>
    </row>
    <row r="32" spans="1:5" ht="35.25">
      <c r="A32" s="826"/>
      <c r="B32" s="179" t="s">
        <v>1614</v>
      </c>
      <c r="C32" s="180">
        <f>Tables!C430</f>
        <v>118491914.72</v>
      </c>
      <c r="D32" s="180">
        <f>Tables!C434</f>
        <v>0</v>
      </c>
      <c r="E32" s="180">
        <f t="shared" si="1"/>
        <v>118491914.72</v>
      </c>
    </row>
    <row r="33" spans="1:7" ht="35.25">
      <c r="A33" s="826"/>
      <c r="B33" s="179" t="s">
        <v>1615</v>
      </c>
      <c r="C33" s="180">
        <f>Tables!C444</f>
        <v>11529640.85</v>
      </c>
      <c r="D33" s="180">
        <f>Tables!C448</f>
        <v>0</v>
      </c>
      <c r="E33" s="180">
        <f t="shared" si="1"/>
        <v>11529640.85</v>
      </c>
    </row>
    <row r="34" spans="1:7">
      <c r="A34" s="826"/>
      <c r="B34" s="179" t="s">
        <v>334</v>
      </c>
      <c r="C34" s="180">
        <f>Tables!C456</f>
        <v>16572078.930000002</v>
      </c>
      <c r="D34" s="180">
        <f>Tables!C460</f>
        <v>525807045</v>
      </c>
      <c r="E34" s="180">
        <f t="shared" si="1"/>
        <v>542379123.92999995</v>
      </c>
    </row>
    <row r="35" spans="1:7">
      <c r="A35" s="826"/>
      <c r="B35" s="179" t="s">
        <v>1340</v>
      </c>
      <c r="C35" s="180">
        <f>Tables!C470</f>
        <v>8590196</v>
      </c>
      <c r="D35" s="180">
        <f>Tables!C474</f>
        <v>122907301</v>
      </c>
      <c r="E35" s="180">
        <f t="shared" si="1"/>
        <v>131497497</v>
      </c>
    </row>
    <row r="36" spans="1:7">
      <c r="A36" s="826"/>
      <c r="B36" s="179" t="s">
        <v>1616</v>
      </c>
      <c r="C36" s="180">
        <f>Tables!C484</f>
        <v>16499999.5</v>
      </c>
      <c r="D36" s="180">
        <f>Tables!C488</f>
        <v>122151840</v>
      </c>
      <c r="E36" s="180">
        <f t="shared" si="1"/>
        <v>138651839.5</v>
      </c>
    </row>
    <row r="37" spans="1:7" s="173" customFormat="1" ht="19.899999999999999">
      <c r="A37" s="826" t="s">
        <v>1617</v>
      </c>
      <c r="B37" s="177" t="s">
        <v>1606</v>
      </c>
      <c r="C37" s="178">
        <f>SUM(C38:C41)</f>
        <v>959439768.20725596</v>
      </c>
      <c r="D37" s="178">
        <f t="shared" ref="D37:E37" si="3">SUM(D38:D41)</f>
        <v>131101207</v>
      </c>
      <c r="E37" s="178">
        <f t="shared" si="3"/>
        <v>1090540975.2072558</v>
      </c>
      <c r="G37" s="185"/>
    </row>
    <row r="38" spans="1:7" ht="35.25">
      <c r="A38" s="826"/>
      <c r="B38" s="179" t="s">
        <v>1618</v>
      </c>
      <c r="C38" s="180">
        <f>Tables!C525</f>
        <v>831152424.88999987</v>
      </c>
      <c r="D38" s="180">
        <f>Tables!C529</f>
        <v>0</v>
      </c>
      <c r="E38" s="180">
        <f t="shared" si="1"/>
        <v>831152424.88999987</v>
      </c>
    </row>
    <row r="39" spans="1:7">
      <c r="A39" s="826"/>
      <c r="B39" s="179" t="s">
        <v>1619</v>
      </c>
      <c r="C39" s="180">
        <f>Tables!C539</f>
        <v>89859202.361256137</v>
      </c>
      <c r="D39" s="180">
        <f>Tables!C543</f>
        <v>60500000</v>
      </c>
      <c r="E39" s="180">
        <f t="shared" si="1"/>
        <v>150359202.36125612</v>
      </c>
    </row>
    <row r="40" spans="1:7">
      <c r="A40" s="826"/>
      <c r="B40" s="179" t="s">
        <v>1620</v>
      </c>
      <c r="C40" s="180">
        <f>Tables!C553</f>
        <v>16504145.308000002</v>
      </c>
      <c r="D40" s="180">
        <f>Tables!C557</f>
        <v>70601207</v>
      </c>
      <c r="E40" s="180">
        <f t="shared" si="1"/>
        <v>87105352.307999998</v>
      </c>
    </row>
    <row r="41" spans="1:7">
      <c r="A41" s="826"/>
      <c r="B41" s="179" t="s">
        <v>1621</v>
      </c>
      <c r="C41" s="180">
        <f>Tables!C568</f>
        <v>21923995.648000002</v>
      </c>
      <c r="D41" s="180">
        <f>Tables!C572</f>
        <v>0</v>
      </c>
      <c r="E41" s="180">
        <f t="shared" si="1"/>
        <v>21923995.648000002</v>
      </c>
    </row>
    <row r="42" spans="1:7" s="173" customFormat="1" ht="19.899999999999999">
      <c r="A42" s="826" t="s">
        <v>1622</v>
      </c>
      <c r="B42" s="177" t="s">
        <v>1606</v>
      </c>
      <c r="C42" s="178">
        <f>SUM(C43:C46)</f>
        <v>210981398</v>
      </c>
      <c r="D42" s="178">
        <f t="shared" ref="D42:E42" si="4">SUM(D43:D46)</f>
        <v>441900000</v>
      </c>
      <c r="E42" s="178">
        <f t="shared" si="4"/>
        <v>652881398</v>
      </c>
    </row>
    <row r="43" spans="1:7" ht="35.25">
      <c r="A43" s="826"/>
      <c r="B43" s="183" t="s">
        <v>1614</v>
      </c>
      <c r="C43" s="186">
        <f>Tables!C610</f>
        <v>184392181</v>
      </c>
      <c r="D43" s="186">
        <f>Tables!C614</f>
        <v>0</v>
      </c>
      <c r="E43" s="180">
        <f t="shared" si="1"/>
        <v>184392181</v>
      </c>
    </row>
    <row r="44" spans="1:7">
      <c r="A44" s="826"/>
      <c r="B44" s="183" t="s">
        <v>1623</v>
      </c>
      <c r="C44" s="186">
        <f>Tables!C624</f>
        <v>7168000</v>
      </c>
      <c r="D44" s="186">
        <f>Tables!C628</f>
        <v>46000000</v>
      </c>
      <c r="E44" s="180">
        <f t="shared" si="1"/>
        <v>53168000</v>
      </c>
    </row>
    <row r="45" spans="1:7">
      <c r="A45" s="826"/>
      <c r="B45" s="183" t="s">
        <v>1624</v>
      </c>
      <c r="C45" s="186">
        <f>Tables!C637</f>
        <v>8108000</v>
      </c>
      <c r="D45" s="186">
        <f>Tables!C641</f>
        <v>319500000</v>
      </c>
      <c r="E45" s="180">
        <f t="shared" si="1"/>
        <v>327608000</v>
      </c>
    </row>
    <row r="46" spans="1:7">
      <c r="A46" s="826"/>
      <c r="B46" s="187" t="s">
        <v>1625</v>
      </c>
      <c r="C46" s="186">
        <f>Tables!C650+Tables!C664</f>
        <v>11313217</v>
      </c>
      <c r="D46" s="186">
        <f>Tables!C654+Tables!C668</f>
        <v>76400000</v>
      </c>
      <c r="E46" s="180">
        <f t="shared" si="1"/>
        <v>87713217</v>
      </c>
    </row>
    <row r="47" spans="1:7" s="173" customFormat="1" ht="19.899999999999999">
      <c r="A47" s="826" t="s">
        <v>1626</v>
      </c>
      <c r="B47" s="177" t="s">
        <v>1606</v>
      </c>
      <c r="C47" s="188">
        <f>SUM(C48:C61)</f>
        <v>3815291856.4031715</v>
      </c>
      <c r="D47" s="188">
        <f t="shared" ref="D47:E47" si="5">SUM(D48:D61)</f>
        <v>347714541</v>
      </c>
      <c r="E47" s="188">
        <f t="shared" si="5"/>
        <v>4163006397.4031715</v>
      </c>
      <c r="G47" s="185"/>
    </row>
    <row r="48" spans="1:7" ht="35.25">
      <c r="A48" s="826"/>
      <c r="B48" s="187" t="s">
        <v>1627</v>
      </c>
      <c r="C48" s="186">
        <f>Tables!C716</f>
        <v>1086721254.9300001</v>
      </c>
      <c r="D48" s="186">
        <f>Tables!C720</f>
        <v>0</v>
      </c>
      <c r="E48" s="180">
        <f t="shared" si="1"/>
        <v>1086721254.9300001</v>
      </c>
    </row>
    <row r="49" spans="1:7" ht="35.25">
      <c r="A49" s="826"/>
      <c r="B49" s="187" t="s">
        <v>1395</v>
      </c>
      <c r="C49" s="186">
        <f>Tables!C729</f>
        <v>2000000</v>
      </c>
      <c r="D49" s="186">
        <f>Tables!C733</f>
        <v>0</v>
      </c>
      <c r="E49" s="180">
        <f t="shared" si="1"/>
        <v>2000000</v>
      </c>
    </row>
    <row r="50" spans="1:7" ht="35.25">
      <c r="A50" s="826"/>
      <c r="B50" s="187" t="s">
        <v>1396</v>
      </c>
      <c r="C50" s="186">
        <f>Tables!C742</f>
        <v>73590308.104000002</v>
      </c>
      <c r="D50" s="186">
        <f>Tables!C746</f>
        <v>160000000</v>
      </c>
      <c r="E50" s="180">
        <f t="shared" si="1"/>
        <v>233590308.104</v>
      </c>
    </row>
    <row r="51" spans="1:7">
      <c r="A51" s="826"/>
      <c r="B51" s="187" t="s">
        <v>1628</v>
      </c>
      <c r="C51" s="186">
        <f>Tables!C755</f>
        <v>660000</v>
      </c>
      <c r="D51" s="186">
        <f>Tables!C759</f>
        <v>0</v>
      </c>
      <c r="E51" s="180">
        <f t="shared" si="1"/>
        <v>660000</v>
      </c>
    </row>
    <row r="52" spans="1:7" ht="35.25">
      <c r="A52" s="826"/>
      <c r="B52" s="187" t="s">
        <v>1629</v>
      </c>
      <c r="C52" s="186">
        <f>Tables!C780</f>
        <v>348128407.42857134</v>
      </c>
      <c r="D52" s="186">
        <f>Tables!C784</f>
        <v>69494444</v>
      </c>
      <c r="E52" s="180">
        <f t="shared" si="1"/>
        <v>417622851.42857134</v>
      </c>
    </row>
    <row r="53" spans="1:7" ht="35.25">
      <c r="A53" s="826"/>
      <c r="B53" s="187" t="s">
        <v>1400</v>
      </c>
      <c r="C53" s="186">
        <f>Tables!C823</f>
        <v>1144497283.0840001</v>
      </c>
      <c r="D53" s="186">
        <f>Tables!C827</f>
        <v>93100000</v>
      </c>
      <c r="E53" s="180">
        <f t="shared" si="1"/>
        <v>1237597283.0840001</v>
      </c>
    </row>
    <row r="54" spans="1:7" ht="35.25">
      <c r="A54" s="826"/>
      <c r="B54" s="187" t="s">
        <v>1402</v>
      </c>
      <c r="C54" s="186">
        <f>Tables!C836</f>
        <v>1000000</v>
      </c>
      <c r="D54" s="186">
        <f>Tables!C840</f>
        <v>0</v>
      </c>
      <c r="E54" s="180">
        <f t="shared" si="1"/>
        <v>1000000</v>
      </c>
    </row>
    <row r="55" spans="1:7" ht="35.25">
      <c r="A55" s="826"/>
      <c r="B55" s="187" t="s">
        <v>1403</v>
      </c>
      <c r="C55" s="186">
        <f>Tables!C849</f>
        <v>1544170.22</v>
      </c>
      <c r="D55" s="186">
        <f>Tables!C853</f>
        <v>0</v>
      </c>
      <c r="E55" s="180">
        <f t="shared" si="1"/>
        <v>1544170.22</v>
      </c>
    </row>
    <row r="56" spans="1:7" ht="35.25">
      <c r="A56" s="826"/>
      <c r="B56" s="187" t="s">
        <v>1404</v>
      </c>
      <c r="C56" s="186">
        <f>Tables!C862</f>
        <v>2659869</v>
      </c>
      <c r="D56" s="186">
        <f>Tables!C866</f>
        <v>0</v>
      </c>
      <c r="E56" s="180">
        <f t="shared" si="1"/>
        <v>2659869</v>
      </c>
    </row>
    <row r="57" spans="1:7" ht="35.25">
      <c r="A57" s="826"/>
      <c r="B57" s="187" t="s">
        <v>1405</v>
      </c>
      <c r="C57" s="186">
        <f>Tables!C875</f>
        <v>1283942.7220000001</v>
      </c>
      <c r="D57" s="186">
        <f>Tables!C879</f>
        <v>0</v>
      </c>
      <c r="E57" s="180">
        <f t="shared" si="1"/>
        <v>1283942.7220000001</v>
      </c>
    </row>
    <row r="58" spans="1:7" ht="35.25">
      <c r="A58" s="826"/>
      <c r="B58" s="187" t="s">
        <v>1630</v>
      </c>
      <c r="C58" s="186">
        <f>Tables!C887</f>
        <v>1001200</v>
      </c>
      <c r="D58" s="186">
        <f>Tables!C891</f>
        <v>0</v>
      </c>
      <c r="E58" s="180">
        <f t="shared" si="1"/>
        <v>1001200</v>
      </c>
      <c r="G58" s="189"/>
    </row>
    <row r="59" spans="1:7" ht="35.25">
      <c r="A59" s="826"/>
      <c r="B59" s="187" t="s">
        <v>1407</v>
      </c>
      <c r="C59" s="186">
        <f>Tables!C899</f>
        <v>26557770.472999997</v>
      </c>
      <c r="D59" s="186">
        <f>Tables!C903</f>
        <v>0</v>
      </c>
      <c r="E59" s="180">
        <f t="shared" si="1"/>
        <v>26557770.472999997</v>
      </c>
    </row>
    <row r="60" spans="1:7">
      <c r="A60" s="826"/>
      <c r="B60" s="187" t="s">
        <v>1408</v>
      </c>
      <c r="C60" s="186">
        <f>Tables!C911</f>
        <v>2412154.4416</v>
      </c>
      <c r="D60" s="186">
        <f>Tables!C915</f>
        <v>0</v>
      </c>
      <c r="E60" s="180">
        <f t="shared" si="1"/>
        <v>2412154.4416</v>
      </c>
    </row>
    <row r="61" spans="1:7">
      <c r="A61" s="826"/>
      <c r="B61" s="187" t="s">
        <v>1409</v>
      </c>
      <c r="C61" s="186">
        <f>Tables!C925</f>
        <v>1123235496</v>
      </c>
      <c r="D61" s="186">
        <f>Tables!C929</f>
        <v>25120097</v>
      </c>
      <c r="E61" s="180">
        <f t="shared" si="1"/>
        <v>1148355593</v>
      </c>
    </row>
    <row r="62" spans="1:7" s="173" customFormat="1" ht="19.899999999999999">
      <c r="A62" s="826" t="s">
        <v>1631</v>
      </c>
      <c r="B62" s="177" t="s">
        <v>1606</v>
      </c>
      <c r="C62" s="178">
        <f>SUM(C63:C67)</f>
        <v>243765901</v>
      </c>
      <c r="D62" s="178">
        <f>SUM(D63:D67)</f>
        <v>192354210</v>
      </c>
      <c r="E62" s="178">
        <f>SUM(E63:E67)</f>
        <v>436120111</v>
      </c>
    </row>
    <row r="63" spans="1:7">
      <c r="A63" s="826"/>
      <c r="B63" s="179" t="s">
        <v>1632</v>
      </c>
      <c r="C63" s="180">
        <f>Tables!C968</f>
        <v>104821718</v>
      </c>
      <c r="D63" s="180">
        <f>Tables!C972</f>
        <v>0</v>
      </c>
      <c r="E63" s="180">
        <f t="shared" si="1"/>
        <v>104821718</v>
      </c>
    </row>
    <row r="64" spans="1:7">
      <c r="A64" s="826"/>
      <c r="B64" s="179" t="s">
        <v>1633</v>
      </c>
      <c r="C64" s="180">
        <f>Tables!C982</f>
        <v>11870876</v>
      </c>
      <c r="D64" s="180">
        <f>Tables!C986</f>
        <v>119000000</v>
      </c>
      <c r="E64" s="180">
        <f t="shared" si="1"/>
        <v>130870876</v>
      </c>
    </row>
    <row r="65" spans="1:5">
      <c r="A65" s="826"/>
      <c r="B65" s="179" t="s">
        <v>1425</v>
      </c>
      <c r="C65" s="180">
        <f>Tables!C994</f>
        <v>63325563</v>
      </c>
      <c r="D65" s="180">
        <f>Tables!C998</f>
        <v>73354210</v>
      </c>
      <c r="E65" s="180">
        <f t="shared" si="1"/>
        <v>136679773</v>
      </c>
    </row>
    <row r="66" spans="1:5">
      <c r="A66" s="826"/>
      <c r="B66" s="179" t="s">
        <v>1426</v>
      </c>
      <c r="C66" s="180">
        <f>Tables!C1007</f>
        <v>38671383</v>
      </c>
      <c r="D66" s="180">
        <f>Tables!C1011</f>
        <v>0</v>
      </c>
      <c r="E66" s="180">
        <f t="shared" si="1"/>
        <v>38671383</v>
      </c>
    </row>
    <row r="67" spans="1:5" ht="35.25">
      <c r="A67" s="826"/>
      <c r="B67" s="190" t="s">
        <v>1428</v>
      </c>
      <c r="C67" s="180">
        <f>Tables!C1019</f>
        <v>25076361</v>
      </c>
      <c r="D67" s="180">
        <f>Tables!C1023</f>
        <v>0</v>
      </c>
      <c r="E67" s="180">
        <f t="shared" si="1"/>
        <v>25076361</v>
      </c>
    </row>
    <row r="68" spans="1:5" s="173" customFormat="1" ht="19.899999999999999">
      <c r="A68" s="826" t="s">
        <v>1634</v>
      </c>
      <c r="B68" s="177" t="s">
        <v>1606</v>
      </c>
      <c r="C68" s="178">
        <f>SUM(C69:C80)</f>
        <v>132097936</v>
      </c>
      <c r="D68" s="178">
        <f>SUM(D69:D80)</f>
        <v>373779883</v>
      </c>
      <c r="E68" s="178">
        <f>SUM(E69:E80)</f>
        <v>505877819</v>
      </c>
    </row>
    <row r="69" spans="1:5" ht="35.25">
      <c r="A69" s="826"/>
      <c r="B69" s="179" t="s">
        <v>1635</v>
      </c>
      <c r="C69" s="180">
        <f>Tables!C1072</f>
        <v>39059143</v>
      </c>
      <c r="D69" s="180">
        <f>Tables!C1076</f>
        <v>0</v>
      </c>
      <c r="E69" s="180">
        <f t="shared" si="1"/>
        <v>39059143</v>
      </c>
    </row>
    <row r="70" spans="1:5">
      <c r="A70" s="826"/>
      <c r="B70" s="179" t="s">
        <v>1636</v>
      </c>
      <c r="C70" s="180">
        <f>Tables!C1086</f>
        <v>2145371</v>
      </c>
      <c r="D70" s="180">
        <f>Tables!C1090</f>
        <v>0</v>
      </c>
      <c r="E70" s="180">
        <f t="shared" si="1"/>
        <v>2145371</v>
      </c>
    </row>
    <row r="71" spans="1:5">
      <c r="A71" s="826"/>
      <c r="B71" s="179" t="s">
        <v>738</v>
      </c>
      <c r="C71" s="180">
        <f>Tables!C1099</f>
        <v>1492178</v>
      </c>
      <c r="D71" s="180">
        <f>Tables!C1103</f>
        <v>0</v>
      </c>
      <c r="E71" s="180">
        <f t="shared" si="1"/>
        <v>1492178</v>
      </c>
    </row>
    <row r="72" spans="1:5">
      <c r="A72" s="826"/>
      <c r="B72" s="179" t="s">
        <v>1637</v>
      </c>
      <c r="C72" s="180">
        <f>Tables!C1113</f>
        <v>19675880</v>
      </c>
      <c r="D72" s="180">
        <f>Tables!C1117</f>
        <v>277443765</v>
      </c>
      <c r="E72" s="180">
        <f t="shared" si="1"/>
        <v>297119645</v>
      </c>
    </row>
    <row r="73" spans="1:5">
      <c r="A73" s="826"/>
      <c r="B73" s="179" t="s">
        <v>1433</v>
      </c>
      <c r="C73" s="180">
        <f>Tables!C1127</f>
        <v>1918179</v>
      </c>
      <c r="D73" s="180">
        <f>Tables!C1131</f>
        <v>8500000</v>
      </c>
      <c r="E73" s="180">
        <f t="shared" si="1"/>
        <v>10418179</v>
      </c>
    </row>
    <row r="74" spans="1:5">
      <c r="A74" s="826"/>
      <c r="B74" s="179" t="s">
        <v>1452</v>
      </c>
      <c r="C74" s="180">
        <f>Tables!C1141</f>
        <v>1382185</v>
      </c>
      <c r="D74" s="180">
        <f>Tables!C1145</f>
        <v>0</v>
      </c>
      <c r="E74" s="180">
        <f t="shared" si="1"/>
        <v>1382185</v>
      </c>
    </row>
    <row r="75" spans="1:5">
      <c r="A75" s="826"/>
      <c r="B75" s="179" t="s">
        <v>1453</v>
      </c>
      <c r="C75" s="180">
        <f>Tables!C1155</f>
        <v>15909218</v>
      </c>
      <c r="D75" s="180">
        <f>Tables!C1159</f>
        <v>50000000</v>
      </c>
      <c r="E75" s="180">
        <f t="shared" si="1"/>
        <v>65909218</v>
      </c>
    </row>
    <row r="76" spans="1:5">
      <c r="A76" s="826"/>
      <c r="B76" s="179" t="s">
        <v>1455</v>
      </c>
      <c r="C76" s="180">
        <f>Tables!C1169</f>
        <v>12849212</v>
      </c>
      <c r="D76" s="180">
        <f>Tables!C1173</f>
        <v>32000000</v>
      </c>
      <c r="E76" s="180">
        <f t="shared" si="1"/>
        <v>44849212</v>
      </c>
    </row>
    <row r="77" spans="1:5" ht="35.25">
      <c r="A77" s="826"/>
      <c r="B77" s="179" t="s">
        <v>1457</v>
      </c>
      <c r="C77" s="180">
        <f>Tables!C1182</f>
        <v>10897861</v>
      </c>
      <c r="D77" s="180">
        <f>Tables!C1186</f>
        <v>0</v>
      </c>
      <c r="E77" s="180">
        <f t="shared" si="1"/>
        <v>10897861</v>
      </c>
    </row>
    <row r="78" spans="1:5">
      <c r="A78" s="826"/>
      <c r="B78" s="179" t="s">
        <v>1458</v>
      </c>
      <c r="C78" s="180">
        <f>Tables!C1194</f>
        <v>6648856</v>
      </c>
      <c r="D78" s="180">
        <f>Tables!C1198</f>
        <v>0</v>
      </c>
      <c r="E78" s="180">
        <f t="shared" si="1"/>
        <v>6648856</v>
      </c>
    </row>
    <row r="79" spans="1:5" ht="52.9">
      <c r="A79" s="826"/>
      <c r="B79" s="179" t="s">
        <v>775</v>
      </c>
      <c r="C79" s="180">
        <f>Tables!C1208</f>
        <v>12000000</v>
      </c>
      <c r="D79" s="180">
        <f>Tables!C1213</f>
        <v>0</v>
      </c>
      <c r="E79" s="180">
        <f t="shared" si="1"/>
        <v>12000000</v>
      </c>
    </row>
    <row r="80" spans="1:5">
      <c r="A80" s="826"/>
      <c r="B80" s="179" t="s">
        <v>1459</v>
      </c>
      <c r="C80" s="180">
        <f>Tables!C1222</f>
        <v>8119853</v>
      </c>
      <c r="D80" s="180">
        <f>Tables!C1226</f>
        <v>5836118</v>
      </c>
      <c r="E80" s="180">
        <f t="shared" si="1"/>
        <v>13955971</v>
      </c>
    </row>
    <row r="81" spans="1:7" s="173" customFormat="1" ht="19.899999999999999">
      <c r="A81" s="826" t="s">
        <v>1638</v>
      </c>
      <c r="B81" s="177" t="s">
        <v>1606</v>
      </c>
      <c r="C81" s="178">
        <f>SUM(C82:C90)</f>
        <v>202248626.65999997</v>
      </c>
      <c r="D81" s="178">
        <f t="shared" ref="D81:E81" si="6">SUM(D82:D90)</f>
        <v>68196364</v>
      </c>
      <c r="E81" s="178">
        <f t="shared" si="6"/>
        <v>270444990.65999997</v>
      </c>
      <c r="G81" s="185"/>
    </row>
    <row r="82" spans="1:7" ht="35.25">
      <c r="A82" s="826"/>
      <c r="B82" s="179" t="s">
        <v>1639</v>
      </c>
      <c r="C82" s="180">
        <f>Tables!C1272</f>
        <v>97442822.140000001</v>
      </c>
      <c r="D82" s="180">
        <f>Tables!C1276</f>
        <v>0</v>
      </c>
      <c r="E82" s="180">
        <f t="shared" si="1"/>
        <v>97442822.140000001</v>
      </c>
    </row>
    <row r="83" spans="1:7">
      <c r="A83" s="826"/>
      <c r="B83" s="179" t="s">
        <v>1482</v>
      </c>
      <c r="C83" s="180">
        <f>Tables!C1285</f>
        <v>6495682</v>
      </c>
      <c r="D83" s="180">
        <f>Tables!C1289</f>
        <v>0</v>
      </c>
      <c r="E83" s="180">
        <f t="shared" si="1"/>
        <v>6495682</v>
      </c>
    </row>
    <row r="84" spans="1:7">
      <c r="A84" s="826"/>
      <c r="B84" s="179" t="s">
        <v>1469</v>
      </c>
      <c r="C84" s="180">
        <f>Tables!C1299</f>
        <v>4059022.5199999809</v>
      </c>
      <c r="D84" s="180">
        <f>Tables!C1303</f>
        <v>13400384</v>
      </c>
      <c r="E84" s="180">
        <f t="shared" si="1"/>
        <v>17459406.519999981</v>
      </c>
    </row>
    <row r="85" spans="1:7">
      <c r="A85" s="826"/>
      <c r="B85" s="179" t="s">
        <v>1467</v>
      </c>
      <c r="C85" s="180">
        <f>Tables!C1312</f>
        <v>47455443</v>
      </c>
      <c r="D85" s="180">
        <f>Tables!C1316</f>
        <v>0</v>
      </c>
      <c r="E85" s="180">
        <f t="shared" si="1"/>
        <v>47455443</v>
      </c>
    </row>
    <row r="86" spans="1:7">
      <c r="A86" s="826"/>
      <c r="B86" s="179" t="s">
        <v>1466</v>
      </c>
      <c r="C86" s="180">
        <f>Tables!C1324</f>
        <v>1236600</v>
      </c>
      <c r="D86" s="180">
        <f>Tables!C1328</f>
        <v>39376080</v>
      </c>
      <c r="E86" s="180">
        <f t="shared" si="1"/>
        <v>40612680</v>
      </c>
    </row>
    <row r="87" spans="1:7">
      <c r="A87" s="826"/>
      <c r="B87" s="179" t="s">
        <v>1485</v>
      </c>
      <c r="C87" s="180">
        <f>Tables!C1336</f>
        <v>6706091</v>
      </c>
      <c r="D87" s="180">
        <f>Tables!C1340</f>
        <v>5112016</v>
      </c>
      <c r="E87" s="180">
        <f t="shared" si="1"/>
        <v>11818107</v>
      </c>
    </row>
    <row r="88" spans="1:7">
      <c r="A88" s="826"/>
      <c r="B88" s="179" t="s">
        <v>1640</v>
      </c>
      <c r="C88" s="180">
        <f>Tables!C1350</f>
        <v>5584235</v>
      </c>
      <c r="D88" s="180">
        <f>Tables!C1354</f>
        <v>10307884</v>
      </c>
      <c r="E88" s="180">
        <f t="shared" si="1"/>
        <v>15892119</v>
      </c>
    </row>
    <row r="89" spans="1:7">
      <c r="A89" s="826"/>
      <c r="B89" s="179" t="s">
        <v>1487</v>
      </c>
      <c r="C89" s="180">
        <f>Tables!C1363</f>
        <v>31647400</v>
      </c>
      <c r="D89" s="180">
        <f>Tables!C1367</f>
        <v>0</v>
      </c>
      <c r="E89" s="180">
        <f t="shared" si="1"/>
        <v>31647400</v>
      </c>
    </row>
    <row r="90" spans="1:7">
      <c r="A90" s="826"/>
      <c r="B90" s="179" t="s">
        <v>1641</v>
      </c>
      <c r="C90" s="180">
        <f>Tables!C1375</f>
        <v>1621331</v>
      </c>
      <c r="D90" s="180">
        <f>Tables!C1379</f>
        <v>0</v>
      </c>
      <c r="E90" s="180">
        <f t="shared" si="1"/>
        <v>1621331</v>
      </c>
    </row>
    <row r="91" spans="1:7" s="173" customFormat="1" ht="19.899999999999999">
      <c r="A91" s="826" t="s">
        <v>1642</v>
      </c>
      <c r="B91" s="177" t="s">
        <v>1606</v>
      </c>
      <c r="C91" s="178">
        <f>SUM(C92:C99)</f>
        <v>395722155.49107826</v>
      </c>
      <c r="D91" s="178">
        <f t="shared" ref="D91:E91" si="7">SUM(D92:D99)</f>
        <v>451000000</v>
      </c>
      <c r="E91" s="178">
        <f t="shared" si="7"/>
        <v>846722155.49107826</v>
      </c>
    </row>
    <row r="92" spans="1:7" ht="35.25">
      <c r="A92" s="826"/>
      <c r="B92" s="179" t="s">
        <v>1643</v>
      </c>
      <c r="C92" s="180">
        <f>Tables!C1422</f>
        <v>270308539.31</v>
      </c>
      <c r="D92" s="180">
        <f>Tables!C1426</f>
        <v>25000000</v>
      </c>
      <c r="E92" s="180">
        <f t="shared" si="1"/>
        <v>295308539.31</v>
      </c>
    </row>
    <row r="93" spans="1:7">
      <c r="A93" s="826"/>
      <c r="B93" s="179" t="s">
        <v>1644</v>
      </c>
      <c r="C93" s="180">
        <f>Tables!C1436</f>
        <v>9805759.9522011578</v>
      </c>
      <c r="D93" s="180">
        <f>Tables!C1440</f>
        <v>426000000</v>
      </c>
      <c r="E93" s="180">
        <f t="shared" si="1"/>
        <v>435805759.95220113</v>
      </c>
    </row>
    <row r="94" spans="1:7">
      <c r="A94" s="826"/>
      <c r="B94" s="179" t="s">
        <v>1507</v>
      </c>
      <c r="C94" s="180">
        <f>Tables!C1449</f>
        <v>26453529.04779882</v>
      </c>
      <c r="D94" s="180">
        <f>Tables!C1453</f>
        <v>0</v>
      </c>
      <c r="E94" s="180">
        <f t="shared" si="1"/>
        <v>26453529.04779882</v>
      </c>
    </row>
    <row r="95" spans="1:7">
      <c r="A95" s="826"/>
      <c r="B95" s="179" t="s">
        <v>1645</v>
      </c>
      <c r="C95" s="180">
        <f>Tables!C1462</f>
        <v>4473423.9999999991</v>
      </c>
      <c r="D95" s="180">
        <f>Tables!C1466</f>
        <v>0</v>
      </c>
      <c r="E95" s="180">
        <f t="shared" si="1"/>
        <v>4473423.9999999991</v>
      </c>
    </row>
    <row r="96" spans="1:7">
      <c r="A96" s="826"/>
      <c r="B96" s="179" t="s">
        <v>1510</v>
      </c>
      <c r="C96" s="180">
        <f>Tables!C1476</f>
        <v>56928219.992050648</v>
      </c>
      <c r="D96" s="180">
        <f>Tables!C1480</f>
        <v>0</v>
      </c>
      <c r="E96" s="180">
        <f t="shared" si="1"/>
        <v>56928219.992050648</v>
      </c>
    </row>
    <row r="97" spans="1:5">
      <c r="A97" s="826"/>
      <c r="B97" s="179" t="s">
        <v>1512</v>
      </c>
      <c r="C97" s="180">
        <f>Tables!C1489</f>
        <v>6958400</v>
      </c>
      <c r="D97" s="180">
        <f>Tables!C1493</f>
        <v>0</v>
      </c>
      <c r="E97" s="180">
        <f t="shared" si="1"/>
        <v>6958400</v>
      </c>
    </row>
    <row r="98" spans="1:5">
      <c r="A98" s="826"/>
      <c r="B98" s="179" t="s">
        <v>1513</v>
      </c>
      <c r="C98" s="180">
        <f>Tables!C1502</f>
        <v>13985354.997370809</v>
      </c>
      <c r="D98" s="180">
        <f>Tables!C1506</f>
        <v>0</v>
      </c>
      <c r="E98" s="180">
        <f t="shared" si="1"/>
        <v>13985354.997370809</v>
      </c>
    </row>
    <row r="99" spans="1:5">
      <c r="A99" s="826"/>
      <c r="B99" s="179" t="s">
        <v>1514</v>
      </c>
      <c r="C99" s="180">
        <f>Tables!C1514</f>
        <v>6808928.1916568354</v>
      </c>
      <c r="D99" s="180">
        <f>Tables!C1518</f>
        <v>0</v>
      </c>
      <c r="E99" s="180">
        <f t="shared" si="1"/>
        <v>6808928.1916568354</v>
      </c>
    </row>
    <row r="100" spans="1:5" s="173" customFormat="1" ht="19.899999999999999">
      <c r="A100" s="826" t="s">
        <v>1646</v>
      </c>
      <c r="B100" s="177" t="s">
        <v>1606</v>
      </c>
      <c r="C100" s="178">
        <f>SUM(C101:C108)</f>
        <v>428788304</v>
      </c>
      <c r="D100" s="178">
        <f t="shared" ref="D100:E100" si="8">SUM(D101:D108)</f>
        <v>329695186</v>
      </c>
      <c r="E100" s="178">
        <f t="shared" si="8"/>
        <v>758483490</v>
      </c>
    </row>
    <row r="101" spans="1:5" ht="35.25">
      <c r="A101" s="826"/>
      <c r="B101" s="179" t="s">
        <v>1614</v>
      </c>
      <c r="C101" s="180">
        <f>Tables!C1569</f>
        <v>281022508</v>
      </c>
      <c r="D101" s="180">
        <f>Tables!C1573</f>
        <v>0</v>
      </c>
      <c r="E101" s="180">
        <f>C101+D101</f>
        <v>281022508</v>
      </c>
    </row>
    <row r="102" spans="1:5" ht="35.25">
      <c r="A102" s="826"/>
      <c r="B102" s="183" t="s">
        <v>1518</v>
      </c>
      <c r="C102" s="180">
        <f>Tables!C1585</f>
        <v>5845114</v>
      </c>
      <c r="D102" s="180">
        <f>Tables!C1589</f>
        <v>237250000</v>
      </c>
      <c r="E102" s="180">
        <f t="shared" ref="E102:E115" si="9">C102+D102</f>
        <v>243095114</v>
      </c>
    </row>
    <row r="103" spans="1:5" ht="35.25">
      <c r="A103" s="826"/>
      <c r="B103" s="183" t="s">
        <v>1520</v>
      </c>
      <c r="C103" s="180">
        <f>Tables!C1600</f>
        <v>20520677</v>
      </c>
      <c r="D103" s="180">
        <f>Tables!C1604</f>
        <v>7500000</v>
      </c>
      <c r="E103" s="180">
        <f t="shared" si="9"/>
        <v>28020677</v>
      </c>
    </row>
    <row r="104" spans="1:5">
      <c r="A104" s="826"/>
      <c r="B104" s="183" t="s">
        <v>1522</v>
      </c>
      <c r="C104" s="180">
        <f>Tables!C1613</f>
        <v>28290034</v>
      </c>
      <c r="D104" s="180">
        <f>Tables!C1617</f>
        <v>55443000</v>
      </c>
      <c r="E104" s="180">
        <f t="shared" si="9"/>
        <v>83733034</v>
      </c>
    </row>
    <row r="105" spans="1:5">
      <c r="A105" s="826"/>
      <c r="B105" s="183" t="s">
        <v>1524</v>
      </c>
      <c r="C105" s="180">
        <f>Tables!C1627</f>
        <v>8222394</v>
      </c>
      <c r="D105" s="180">
        <f>Tables!C1631</f>
        <v>4500000</v>
      </c>
      <c r="E105" s="180">
        <f t="shared" si="9"/>
        <v>12722394</v>
      </c>
    </row>
    <row r="106" spans="1:5" ht="35.25">
      <c r="A106" s="826"/>
      <c r="B106" s="183" t="s">
        <v>314</v>
      </c>
      <c r="C106" s="180">
        <f>Tables!C1642</f>
        <v>66372992</v>
      </c>
      <c r="D106" s="180">
        <f>Tables!C1646</f>
        <v>0</v>
      </c>
      <c r="E106" s="180">
        <f t="shared" si="9"/>
        <v>66372992</v>
      </c>
    </row>
    <row r="107" spans="1:5" ht="35.25">
      <c r="A107" s="826"/>
      <c r="B107" s="183" t="s">
        <v>1647</v>
      </c>
      <c r="C107" s="180">
        <f>Tables!C1656</f>
        <v>10102372</v>
      </c>
      <c r="D107" s="180">
        <f>Tables!C1660</f>
        <v>17002186</v>
      </c>
      <c r="E107" s="180">
        <f t="shared" si="9"/>
        <v>27104558</v>
      </c>
    </row>
    <row r="108" spans="1:5">
      <c r="A108" s="826"/>
      <c r="B108" s="183" t="s">
        <v>1526</v>
      </c>
      <c r="C108" s="180">
        <f>Tables!C1668</f>
        <v>8412213</v>
      </c>
      <c r="D108" s="180">
        <f>Tables!C1672</f>
        <v>8000000</v>
      </c>
      <c r="E108" s="180">
        <f t="shared" si="9"/>
        <v>16412213</v>
      </c>
    </row>
    <row r="109" spans="1:5" s="173" customFormat="1" ht="19.899999999999999">
      <c r="A109" s="826" t="s">
        <v>1648</v>
      </c>
      <c r="B109" s="177" t="s">
        <v>1606</v>
      </c>
      <c r="C109" s="178">
        <f>C111+C110+C115+C112+C113+C114</f>
        <v>123455277.66</v>
      </c>
      <c r="D109" s="178">
        <f t="shared" ref="D109:E109" si="10">D111+D110+D115+D112+D113+D114</f>
        <v>131356414.06999999</v>
      </c>
      <c r="E109" s="178">
        <f t="shared" si="10"/>
        <v>254811691.72999999</v>
      </c>
    </row>
    <row r="110" spans="1:5" s="173" customFormat="1" ht="35.25">
      <c r="A110" s="826"/>
      <c r="B110" s="183" t="s">
        <v>1614</v>
      </c>
      <c r="C110" s="180">
        <f>Tables!C1712</f>
        <v>84219093.519999996</v>
      </c>
      <c r="D110" s="180">
        <f>Tables!C1716</f>
        <v>0</v>
      </c>
      <c r="E110" s="180">
        <f t="shared" si="9"/>
        <v>84219093.519999996</v>
      </c>
    </row>
    <row r="111" spans="1:5">
      <c r="A111" s="826"/>
      <c r="B111" s="183" t="s">
        <v>1541</v>
      </c>
      <c r="C111" s="186">
        <f>Tables!C1726</f>
        <v>3273333.33</v>
      </c>
      <c r="D111" s="186">
        <f>Tables!C1730</f>
        <v>0</v>
      </c>
      <c r="E111" s="180">
        <f t="shared" si="9"/>
        <v>3273333.33</v>
      </c>
    </row>
    <row r="112" spans="1:5">
      <c r="A112" s="826"/>
      <c r="B112" s="183" t="s">
        <v>1543</v>
      </c>
      <c r="C112" s="186">
        <f>Tables!C1740</f>
        <v>8072600</v>
      </c>
      <c r="D112" s="186">
        <f>Tables!C1744</f>
        <v>19500000</v>
      </c>
      <c r="E112" s="180">
        <f t="shared" si="9"/>
        <v>27572600</v>
      </c>
    </row>
    <row r="113" spans="1:5">
      <c r="A113" s="826"/>
      <c r="B113" s="183" t="s">
        <v>1537</v>
      </c>
      <c r="C113" s="186">
        <f>Tables!C1752</f>
        <v>6053273.3300000001</v>
      </c>
      <c r="D113" s="186">
        <f>Tables!C1756</f>
        <v>2912127</v>
      </c>
      <c r="E113" s="180">
        <f t="shared" si="9"/>
        <v>8965400.3300000001</v>
      </c>
    </row>
    <row r="114" spans="1:5">
      <c r="A114" s="826"/>
      <c r="B114" s="183" t="s">
        <v>1538</v>
      </c>
      <c r="C114" s="186">
        <f>Tables!C1765</f>
        <v>13698317.48</v>
      </c>
      <c r="D114" s="186">
        <f>Tables!C1769</f>
        <v>9830133</v>
      </c>
      <c r="E114" s="180">
        <f t="shared" si="9"/>
        <v>23528450.48</v>
      </c>
    </row>
    <row r="115" spans="1:5">
      <c r="A115" s="826"/>
      <c r="B115" s="183" t="s">
        <v>1083</v>
      </c>
      <c r="C115" s="186">
        <f>Tables!C1778</f>
        <v>8138660</v>
      </c>
      <c r="D115" s="186">
        <f>Tables!C1782</f>
        <v>99114154.069999993</v>
      </c>
      <c r="E115" s="180">
        <f t="shared" si="9"/>
        <v>107252814.06999999</v>
      </c>
    </row>
    <row r="116" spans="1:5" s="173" customFormat="1" ht="19.899999999999999">
      <c r="A116" s="826" t="s">
        <v>1649</v>
      </c>
      <c r="B116" s="177" t="s">
        <v>1606</v>
      </c>
      <c r="C116" s="178">
        <f>SUM(C117:C121)</f>
        <v>85780354</v>
      </c>
      <c r="D116" s="178">
        <f>SUM(D117:D121)</f>
        <v>128214416</v>
      </c>
      <c r="E116" s="178">
        <f>SUM(E117:E121)</f>
        <v>213994770</v>
      </c>
    </row>
    <row r="117" spans="1:5" ht="35.25">
      <c r="A117" s="826"/>
      <c r="B117" s="179" t="s">
        <v>1650</v>
      </c>
      <c r="C117" s="180">
        <f>Tables!C1828</f>
        <v>66336736</v>
      </c>
      <c r="D117" s="180">
        <f>Tables!C1832</f>
        <v>800000</v>
      </c>
      <c r="E117" s="180">
        <f t="shared" si="1"/>
        <v>67136736</v>
      </c>
    </row>
    <row r="118" spans="1:5">
      <c r="A118" s="826"/>
      <c r="B118" s="179" t="s">
        <v>1551</v>
      </c>
      <c r="C118" s="180">
        <f>Tables!C1842</f>
        <v>6247618</v>
      </c>
      <c r="D118" s="180">
        <f>Tables!C1846</f>
        <v>9700000</v>
      </c>
      <c r="E118" s="180">
        <f t="shared" si="1"/>
        <v>15947618</v>
      </c>
    </row>
    <row r="119" spans="1:5" ht="35.25">
      <c r="A119" s="826"/>
      <c r="B119" s="179" t="s">
        <v>1560</v>
      </c>
      <c r="C119" s="180">
        <f>Tables!C1856</f>
        <v>4059000</v>
      </c>
      <c r="D119" s="180">
        <f>Tables!C1860</f>
        <v>43800000</v>
      </c>
      <c r="E119" s="180">
        <f t="shared" si="1"/>
        <v>47859000</v>
      </c>
    </row>
    <row r="120" spans="1:5">
      <c r="A120" s="826"/>
      <c r="B120" s="179" t="s">
        <v>1549</v>
      </c>
      <c r="C120" s="180">
        <f>Tables!C1869</f>
        <v>4779000</v>
      </c>
      <c r="D120" s="180">
        <f>Tables!C1873</f>
        <v>25250000</v>
      </c>
      <c r="E120" s="180">
        <f t="shared" si="1"/>
        <v>30029000</v>
      </c>
    </row>
    <row r="121" spans="1:5">
      <c r="A121" s="826"/>
      <c r="B121" s="179" t="s">
        <v>1562</v>
      </c>
      <c r="C121" s="180">
        <f>Tables!C1884</f>
        <v>4358000</v>
      </c>
      <c r="D121" s="180">
        <f>Tables!C1888</f>
        <v>48664416</v>
      </c>
      <c r="E121" s="180">
        <f t="shared" si="1"/>
        <v>53022416</v>
      </c>
    </row>
    <row r="122" spans="1:5" s="173" customFormat="1" ht="19.899999999999999">
      <c r="A122" s="826" t="s">
        <v>1651</v>
      </c>
      <c r="B122" s="177" t="s">
        <v>1606</v>
      </c>
      <c r="C122" s="178">
        <f>SUM(C123:C129)</f>
        <v>73086737</v>
      </c>
      <c r="D122" s="178">
        <f t="shared" ref="D122:E122" si="11">SUM(D123:D129)</f>
        <v>51265280</v>
      </c>
      <c r="E122" s="178">
        <f t="shared" si="11"/>
        <v>124352017</v>
      </c>
    </row>
    <row r="123" spans="1:5" ht="35.25">
      <c r="A123" s="826"/>
      <c r="B123" s="179" t="s">
        <v>1650</v>
      </c>
      <c r="C123" s="180">
        <f>Tables!C1945</f>
        <v>52905787</v>
      </c>
      <c r="D123" s="180">
        <f>Tables!C1949</f>
        <v>3000000</v>
      </c>
      <c r="E123" s="180">
        <f t="shared" si="1"/>
        <v>55905787</v>
      </c>
    </row>
    <row r="124" spans="1:5">
      <c r="A124" s="826"/>
      <c r="B124" s="179" t="s">
        <v>1580</v>
      </c>
      <c r="C124" s="180">
        <f>Tables!C1959</f>
        <v>9057940</v>
      </c>
      <c r="D124" s="180">
        <f>Tables!C1963</f>
        <v>5000000</v>
      </c>
      <c r="E124" s="180">
        <f t="shared" si="1"/>
        <v>14057940</v>
      </c>
    </row>
    <row r="125" spans="1:5">
      <c r="A125" s="826"/>
      <c r="B125" s="179" t="s">
        <v>1582</v>
      </c>
      <c r="C125" s="180">
        <f>Tables!C1972</f>
        <v>7649575</v>
      </c>
      <c r="D125" s="180">
        <f>Tables!C1976</f>
        <v>9000000</v>
      </c>
      <c r="E125" s="180">
        <f t="shared" si="1"/>
        <v>16649575</v>
      </c>
    </row>
    <row r="126" spans="1:5">
      <c r="A126" s="826"/>
      <c r="B126" s="179" t="s">
        <v>1572</v>
      </c>
      <c r="C126" s="180">
        <f>Tables!C1984</f>
        <v>680000</v>
      </c>
      <c r="D126" s="180">
        <f>Tables!C1988</f>
        <v>3500000</v>
      </c>
      <c r="E126" s="180">
        <f t="shared" si="1"/>
        <v>4180000</v>
      </c>
    </row>
    <row r="127" spans="1:5">
      <c r="A127" s="826"/>
      <c r="B127" s="183" t="s">
        <v>1573</v>
      </c>
      <c r="C127" s="180">
        <f>Tables!C1996</f>
        <v>180000</v>
      </c>
      <c r="D127" s="180">
        <f>Tables!C2000</f>
        <v>2000000</v>
      </c>
      <c r="E127" s="180">
        <f t="shared" si="1"/>
        <v>2180000</v>
      </c>
    </row>
    <row r="128" spans="1:5">
      <c r="A128" s="826"/>
      <c r="B128" s="179" t="s">
        <v>1583</v>
      </c>
      <c r="C128" s="180">
        <f>Tables!C2008</f>
        <v>1734090</v>
      </c>
      <c r="D128" s="180">
        <f>Tables!C2012</f>
        <v>3000000</v>
      </c>
      <c r="E128" s="180">
        <f t="shared" si="1"/>
        <v>4734090</v>
      </c>
    </row>
    <row r="129" spans="1:5">
      <c r="A129" s="826"/>
      <c r="B129" s="179" t="s">
        <v>1222</v>
      </c>
      <c r="C129" s="180">
        <f>Tables!C2021</f>
        <v>879345</v>
      </c>
      <c r="D129" s="180">
        <f>Tables!C2025</f>
        <v>25765280</v>
      </c>
      <c r="E129" s="180">
        <f t="shared" si="1"/>
        <v>26644625</v>
      </c>
    </row>
    <row r="130" spans="1:5" s="173" customFormat="1" ht="19.899999999999999">
      <c r="A130" s="826" t="s">
        <v>1652</v>
      </c>
      <c r="B130" s="177" t="s">
        <v>1606</v>
      </c>
      <c r="C130" s="178">
        <f>SUM(C131:C134)</f>
        <v>83299728</v>
      </c>
      <c r="D130" s="178">
        <f t="shared" ref="D130:E130" si="12">SUM(D131:D134)</f>
        <v>13750000</v>
      </c>
      <c r="E130" s="178">
        <f t="shared" si="12"/>
        <v>97049728</v>
      </c>
    </row>
    <row r="131" spans="1:5" ht="35.25">
      <c r="A131" s="826"/>
      <c r="B131" s="179" t="s">
        <v>1643</v>
      </c>
      <c r="C131" s="180">
        <f>Tables!C2064</f>
        <v>60095222</v>
      </c>
      <c r="D131" s="180">
        <f>Tables!C2068</f>
        <v>13750000</v>
      </c>
      <c r="E131" s="180">
        <f>C131+D131</f>
        <v>73845222</v>
      </c>
    </row>
    <row r="132" spans="1:5">
      <c r="A132" s="826"/>
      <c r="B132" s="179" t="s">
        <v>1653</v>
      </c>
      <c r="C132" s="180">
        <f>Tables!C2077</f>
        <v>10177000</v>
      </c>
      <c r="D132" s="180">
        <f>Tables!C2094</f>
        <v>0</v>
      </c>
      <c r="E132" s="180">
        <f>C132+D132</f>
        <v>10177000</v>
      </c>
    </row>
    <row r="133" spans="1:5">
      <c r="A133" s="826"/>
      <c r="B133" s="179" t="s">
        <v>1654</v>
      </c>
      <c r="C133" s="180">
        <f>Tables!C2090</f>
        <v>6407500</v>
      </c>
      <c r="D133" s="180">
        <f>Tables!C2094</f>
        <v>0</v>
      </c>
      <c r="E133" s="180">
        <f>C133+D133</f>
        <v>6407500</v>
      </c>
    </row>
    <row r="134" spans="1:5">
      <c r="A134" s="826"/>
      <c r="B134" s="179" t="s">
        <v>1655</v>
      </c>
      <c r="C134" s="180">
        <f>Tables!C2103</f>
        <v>6620006</v>
      </c>
      <c r="D134" s="180">
        <f>Tables!C2107</f>
        <v>0</v>
      </c>
      <c r="E134" s="180">
        <f>C134+D134</f>
        <v>6620006</v>
      </c>
    </row>
    <row r="135" spans="1:5" s="173" customFormat="1" ht="19.899999999999999">
      <c r="A135" s="826" t="s">
        <v>1656</v>
      </c>
      <c r="B135" s="177" t="s">
        <v>1606</v>
      </c>
      <c r="C135" s="178">
        <f>SUM(C136:C137)</f>
        <v>1007699946.074</v>
      </c>
      <c r="D135" s="178">
        <f t="shared" ref="D135:E135" si="13">SUM(D136:D137)</f>
        <v>100000000</v>
      </c>
      <c r="E135" s="178">
        <f t="shared" si="13"/>
        <v>1107699946.0739999</v>
      </c>
    </row>
    <row r="136" spans="1:5" ht="35.25">
      <c r="A136" s="826"/>
      <c r="B136" s="179" t="s">
        <v>1657</v>
      </c>
      <c r="C136" s="180">
        <f>Tables!C2139</f>
        <v>1007699946.074</v>
      </c>
      <c r="D136" s="180">
        <f>Tables!C2143</f>
        <v>100000000</v>
      </c>
      <c r="E136" s="180">
        <f>C136+D136</f>
        <v>1107699946.0739999</v>
      </c>
    </row>
    <row r="137" spans="1:5">
      <c r="A137" s="826"/>
      <c r="B137" s="179" t="s">
        <v>1658</v>
      </c>
      <c r="C137" s="180">
        <f>Tables!C2151</f>
        <v>0</v>
      </c>
      <c r="D137" s="180">
        <f>Tables!C2155</f>
        <v>0</v>
      </c>
      <c r="E137" s="180">
        <f>C137+D137</f>
        <v>0</v>
      </c>
    </row>
    <row r="138" spans="1:5">
      <c r="A138" s="191"/>
      <c r="B138" s="192"/>
      <c r="C138" s="193"/>
      <c r="D138" s="193"/>
      <c r="E138" s="193"/>
    </row>
    <row r="139" spans="1:5" ht="59.65">
      <c r="A139" s="191" t="s">
        <v>1659</v>
      </c>
      <c r="B139" s="194"/>
      <c r="C139" s="195">
        <f>C24+C109+C122+C116+C135+C130+C91+C81+C68+C62+C47+C42+C37+C31+C6+C100</f>
        <v>9515044229.4047585</v>
      </c>
      <c r="D139" s="195">
        <f>D24+D109+D122+D116+D135+D130+D91+D81+D68+D62+D47+D42+D37+D31+D6+D100</f>
        <v>4509975918.5952396</v>
      </c>
      <c r="E139" s="195">
        <f>E24+E109+E122+E116+E135+E130+E91+E81+E68+E62+E47+E42+E37+E31+E6+E100</f>
        <v>14025020147.999998</v>
      </c>
    </row>
    <row r="140" spans="1:5" s="173" customFormat="1" ht="19.899999999999999">
      <c r="A140" s="191"/>
      <c r="B140" s="194" t="s">
        <v>1660</v>
      </c>
      <c r="C140" s="196">
        <f>C139-C135</f>
        <v>8507344283.3307581</v>
      </c>
      <c r="D140" s="196">
        <f>D139-D135</f>
        <v>4409975918.5952396</v>
      </c>
      <c r="E140" s="196">
        <f>E139-E135</f>
        <v>12917320201.925999</v>
      </c>
    </row>
    <row r="141" spans="1:5" s="173" customFormat="1" ht="19.899999999999999">
      <c r="A141" s="191"/>
      <c r="B141" s="194" t="s">
        <v>1661</v>
      </c>
      <c r="C141" s="196">
        <f>C135</f>
        <v>1007699946.074</v>
      </c>
      <c r="D141" s="196">
        <f>D135</f>
        <v>100000000</v>
      </c>
      <c r="E141" s="196">
        <f>E135</f>
        <v>1107699946.0739999</v>
      </c>
    </row>
    <row r="142" spans="1:5" s="173" customFormat="1" ht="19.899999999999999">
      <c r="A142" s="191"/>
      <c r="B142" s="194" t="s">
        <v>1662</v>
      </c>
      <c r="C142" s="197">
        <f>C140+C141</f>
        <v>9515044229.4047585</v>
      </c>
      <c r="D142" s="197">
        <f t="shared" ref="D142:E142" si="14">D140+D141</f>
        <v>4509975918.5952396</v>
      </c>
      <c r="E142" s="197">
        <f t="shared" si="14"/>
        <v>14025020147.999998</v>
      </c>
    </row>
    <row r="143" spans="1:5">
      <c r="A143" s="198"/>
      <c r="B143" s="194" t="s">
        <v>1663</v>
      </c>
      <c r="C143" s="199">
        <f>C142/E142</f>
        <v>0.6784335515383646</v>
      </c>
      <c r="D143" s="199">
        <f>D142/E142</f>
        <v>0.3215664484616354</v>
      </c>
      <c r="E143" s="199">
        <f>E142/E142</f>
        <v>1</v>
      </c>
    </row>
    <row r="144" spans="1:5">
      <c r="E144" s="200"/>
    </row>
    <row r="145" spans="5:5">
      <c r="E145" s="189"/>
    </row>
  </sheetData>
  <mergeCells count="21">
    <mergeCell ref="A1:E1"/>
    <mergeCell ref="A2:E2"/>
    <mergeCell ref="A3:E3"/>
    <mergeCell ref="A4:A5"/>
    <mergeCell ref="A6:A23"/>
    <mergeCell ref="B4:B5"/>
    <mergeCell ref="A24:A30"/>
    <mergeCell ref="A31:A36"/>
    <mergeCell ref="A37:A41"/>
    <mergeCell ref="A42:A46"/>
    <mergeCell ref="A47:A61"/>
    <mergeCell ref="A62:A67"/>
    <mergeCell ref="A68:A80"/>
    <mergeCell ref="A81:A90"/>
    <mergeCell ref="A91:A99"/>
    <mergeCell ref="A100:A108"/>
    <mergeCell ref="A109:A115"/>
    <mergeCell ref="A116:A121"/>
    <mergeCell ref="A122:A129"/>
    <mergeCell ref="A130:A134"/>
    <mergeCell ref="A135:A137"/>
  </mergeCells>
  <pageMargins left="0.70866141732283505" right="0.70866141732283505" top="0.74803149606299202" bottom="0.74803149606299202" header="0.31496062992126" footer="0.31496062992126"/>
  <pageSetup paperSize="9" scale="54" fitToHeight="7" orientation="portrait"/>
  <headerFooter>
    <oddFooter>&amp;CPage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E62"/>
  <sheetViews>
    <sheetView showGridLines="0" zoomScale="88" zoomScaleNormal="88" workbookViewId="0">
      <pane xSplit="1" ySplit="3" topLeftCell="G4" activePane="bottomRight" state="frozen"/>
      <selection pane="topRight"/>
      <selection pane="bottomLeft"/>
      <selection pane="bottomRight" activeCell="A19" sqref="A19"/>
    </sheetView>
  </sheetViews>
  <sheetFormatPr defaultColWidth="8.53125" defaultRowHeight="15.4"/>
  <cols>
    <col min="1" max="1" width="52.33203125" style="127" customWidth="1"/>
    <col min="2" max="3" width="19.33203125" style="128" customWidth="1"/>
    <col min="4" max="4" width="27" style="128" customWidth="1"/>
    <col min="5" max="5" width="24.59765625" style="128" customWidth="1"/>
    <col min="6" max="6" width="28.33203125" style="128" customWidth="1"/>
    <col min="7" max="7" width="11.06640625" style="129" customWidth="1"/>
    <col min="8" max="8" width="11.06640625" style="129" hidden="1" customWidth="1"/>
    <col min="9" max="9" width="18.46484375" style="130" hidden="1" customWidth="1"/>
    <col min="10" max="10" width="14.46484375" style="129" hidden="1" customWidth="1"/>
    <col min="11" max="11" width="17.46484375" style="129" hidden="1" customWidth="1"/>
    <col min="12" max="15" width="8.53125" style="129" hidden="1" customWidth="1"/>
    <col min="16" max="16" width="68" style="129" hidden="1" customWidth="1"/>
    <col min="17" max="17" width="5.796875" style="129" hidden="1" customWidth="1"/>
    <col min="18" max="18" width="23.06640625" style="131" hidden="1" customWidth="1"/>
    <col min="19" max="20" width="17.796875" style="131" hidden="1" customWidth="1"/>
    <col min="21" max="22" width="22.33203125" style="130" hidden="1" customWidth="1"/>
    <col min="23" max="23" width="8.796875" style="129" hidden="1" customWidth="1"/>
    <col min="24" max="24" width="19" style="129" hidden="1" customWidth="1"/>
    <col min="25" max="25" width="8.53125" style="129" hidden="1" customWidth="1"/>
    <col min="26" max="26" width="16.33203125" style="129" hidden="1" customWidth="1"/>
    <col min="27" max="27" width="12.46484375" style="129" customWidth="1"/>
    <col min="28" max="28" width="17.53125" style="132" customWidth="1"/>
    <col min="29" max="29" width="18.796875" style="129" customWidth="1"/>
    <col min="30" max="30" width="24.59765625" style="130" hidden="1" customWidth="1"/>
    <col min="31" max="31" width="17.59765625" style="129" hidden="1" customWidth="1"/>
    <col min="32" max="16384" width="8.53125" style="129"/>
  </cols>
  <sheetData>
    <row r="1" spans="1:31">
      <c r="A1" s="830" t="s">
        <v>1664</v>
      </c>
      <c r="B1" s="830"/>
      <c r="C1" s="830"/>
      <c r="D1" s="830"/>
      <c r="E1" s="830"/>
      <c r="F1" s="830"/>
      <c r="G1" s="830"/>
      <c r="H1" s="133"/>
      <c r="I1" s="154"/>
      <c r="J1" s="155"/>
      <c r="K1" s="155"/>
      <c r="L1" s="155"/>
      <c r="M1" s="155"/>
      <c r="N1" s="155"/>
      <c r="P1" s="149" t="s">
        <v>1665</v>
      </c>
      <c r="Q1" s="149"/>
      <c r="R1" s="162"/>
      <c r="S1" s="162"/>
      <c r="T1" s="162"/>
    </row>
    <row r="2" spans="1:31">
      <c r="A2" s="832" t="s">
        <v>1666</v>
      </c>
      <c r="B2" s="831" t="s">
        <v>1667</v>
      </c>
      <c r="C2" s="831"/>
      <c r="D2" s="831" t="s">
        <v>1668</v>
      </c>
      <c r="E2" s="831" t="s">
        <v>1669</v>
      </c>
      <c r="F2" s="831" t="s">
        <v>1670</v>
      </c>
      <c r="G2" s="830" t="s">
        <v>1671</v>
      </c>
      <c r="H2" s="133"/>
      <c r="I2" s="154"/>
      <c r="J2" s="155"/>
      <c r="K2" s="155"/>
      <c r="L2" s="155"/>
      <c r="M2" s="155"/>
      <c r="N2" s="155"/>
      <c r="P2" s="149" t="s">
        <v>1666</v>
      </c>
      <c r="Q2" s="149"/>
      <c r="R2" s="163" t="s">
        <v>1667</v>
      </c>
      <c r="S2" s="163"/>
      <c r="T2" s="163" t="s">
        <v>1668</v>
      </c>
      <c r="U2" s="130" t="s">
        <v>1669</v>
      </c>
      <c r="V2" s="130" t="s">
        <v>1670</v>
      </c>
      <c r="W2" s="129" t="s">
        <v>1671</v>
      </c>
      <c r="AB2" s="132" t="s">
        <v>1670</v>
      </c>
      <c r="AD2" s="130" t="s">
        <v>1670</v>
      </c>
    </row>
    <row r="3" spans="1:31">
      <c r="A3" s="832"/>
      <c r="B3" s="134" t="s">
        <v>1672</v>
      </c>
      <c r="C3" s="134" t="s">
        <v>1673</v>
      </c>
      <c r="D3" s="831"/>
      <c r="E3" s="831"/>
      <c r="F3" s="831"/>
      <c r="G3" s="830"/>
      <c r="H3" s="133"/>
      <c r="I3" s="154"/>
      <c r="J3" s="155"/>
      <c r="K3" s="155"/>
      <c r="L3" s="155"/>
      <c r="M3" s="155"/>
      <c r="N3" s="155"/>
      <c r="P3" s="149"/>
      <c r="Q3" s="149"/>
      <c r="R3" s="131" t="s">
        <v>1672</v>
      </c>
      <c r="S3" s="131" t="s">
        <v>1673</v>
      </c>
    </row>
    <row r="4" spans="1:31">
      <c r="A4" s="135" t="s">
        <v>1674</v>
      </c>
      <c r="B4" s="136">
        <f>Tables!C46</f>
        <v>589307167</v>
      </c>
      <c r="C4" s="136">
        <f>Tables!C47+Tables!C48</f>
        <v>838188656.90825272</v>
      </c>
      <c r="D4" s="136">
        <f>B4+C4</f>
        <v>1427495823.9082527</v>
      </c>
      <c r="E4" s="136">
        <f>Tables!C49</f>
        <v>935279423.52523994</v>
      </c>
      <c r="F4" s="136">
        <f>SUM(D4,E4)</f>
        <v>2362775247.4334927</v>
      </c>
      <c r="G4" s="137">
        <f>F4/$F$20</f>
        <v>0.16846858132823647</v>
      </c>
      <c r="H4" s="138">
        <f>F4-Votes!D5</f>
        <v>0</v>
      </c>
      <c r="I4" s="154">
        <v>1984644129.45</v>
      </c>
      <c r="J4" s="156">
        <f>F4-I4</f>
        <v>378131117.98349261</v>
      </c>
      <c r="K4" s="154">
        <v>578217887.07000005</v>
      </c>
      <c r="L4" s="156">
        <f>B4-K4</f>
        <v>11089279.929999948</v>
      </c>
      <c r="M4" s="155"/>
      <c r="N4" s="155"/>
      <c r="P4" s="149" t="s">
        <v>1674</v>
      </c>
      <c r="Q4" s="149"/>
      <c r="R4" s="163">
        <v>562143167</v>
      </c>
      <c r="S4" s="163">
        <v>805482459.47464395</v>
      </c>
      <c r="T4" s="163">
        <v>1367625626.4746399</v>
      </c>
      <c r="U4" s="130">
        <v>1032101176</v>
      </c>
      <c r="V4" s="130">
        <v>2399726802.4746399</v>
      </c>
      <c r="W4" s="129">
        <v>0.16810969497081699</v>
      </c>
      <c r="X4" s="164">
        <f>V4-F4</f>
        <v>36951555.041147232</v>
      </c>
      <c r="AB4" s="132">
        <v>2196814917.4746399</v>
      </c>
      <c r="AC4" s="164">
        <f>F4-AB4</f>
        <v>165960329.95885277</v>
      </c>
      <c r="AD4" s="130">
        <v>2211939917.4746399</v>
      </c>
      <c r="AE4" s="164">
        <f>AD4-F4</f>
        <v>-150835329.95885277</v>
      </c>
    </row>
    <row r="5" spans="1:31">
      <c r="A5" s="135" t="s">
        <v>1675</v>
      </c>
      <c r="B5" s="136">
        <f>Tables!C306</f>
        <v>79668380.001000002</v>
      </c>
      <c r="C5" s="136">
        <f>Tables!C307+Tables!C308</f>
        <v>74538207</v>
      </c>
      <c r="D5" s="136">
        <f>B5+C5</f>
        <v>154206587.00099999</v>
      </c>
      <c r="E5" s="136">
        <f>Tables!C309</f>
        <v>43502808</v>
      </c>
      <c r="F5" s="136">
        <f>SUM(D5,E5)</f>
        <v>197709395.00099999</v>
      </c>
      <c r="G5" s="137">
        <f t="shared" ref="G5:G20" si="0">F5/$F$20</f>
        <v>1.4096906308487112E-2</v>
      </c>
      <c r="H5" s="138">
        <f>F5-Votes!D6</f>
        <v>0</v>
      </c>
      <c r="I5" s="154">
        <v>190357185.64300799</v>
      </c>
      <c r="J5" s="156">
        <f t="shared" ref="J5:J19" si="1">F5-I5</f>
        <v>7352209.3579919934</v>
      </c>
      <c r="K5" s="154">
        <v>61710454</v>
      </c>
      <c r="L5" s="156">
        <f>B5-K5</f>
        <v>17957926.001000002</v>
      </c>
      <c r="M5" s="155">
        <v>4699696.2569917096</v>
      </c>
      <c r="N5" s="156">
        <f>L5-M5</f>
        <v>13258229.744008292</v>
      </c>
      <c r="P5" s="149" t="s">
        <v>1675</v>
      </c>
      <c r="Q5" s="165" t="s">
        <v>1676</v>
      </c>
      <c r="R5" s="166">
        <v>79668380.001000002</v>
      </c>
      <c r="S5" s="166">
        <v>74538207</v>
      </c>
      <c r="T5" s="166">
        <v>154206587.00099999</v>
      </c>
      <c r="U5" s="130">
        <v>43502808</v>
      </c>
      <c r="V5" s="130">
        <v>197709395.00099999</v>
      </c>
      <c r="W5" s="129">
        <v>1.3850270810914099E-2</v>
      </c>
      <c r="X5" s="164">
        <f t="shared" ref="X5:X21" si="2">V5-F5</f>
        <v>0</v>
      </c>
      <c r="Z5" s="170">
        <v>9686000</v>
      </c>
      <c r="AB5" s="132">
        <v>207984395.00099999</v>
      </c>
      <c r="AC5" s="164">
        <f t="shared" ref="AC5:AC21" si="3">F5-AB5</f>
        <v>-10275000</v>
      </c>
      <c r="AD5" s="130">
        <v>197709395.00099999</v>
      </c>
      <c r="AE5" s="164">
        <f t="shared" ref="AE5:AE21" si="4">AD5-F5</f>
        <v>0</v>
      </c>
    </row>
    <row r="6" spans="1:31">
      <c r="A6" s="135" t="s">
        <v>1677</v>
      </c>
      <c r="B6" s="136">
        <f>Tables!C413</f>
        <v>110407882</v>
      </c>
      <c r="C6" s="136">
        <f>Tables!C414+Tables!C415</f>
        <v>61275948</v>
      </c>
      <c r="D6" s="136">
        <f>B6+C6</f>
        <v>171683830</v>
      </c>
      <c r="E6" s="136">
        <f>Tables!C416</f>
        <v>770866186</v>
      </c>
      <c r="F6" s="136">
        <f t="shared" ref="F6:F19" si="5">SUM(D6,E6)</f>
        <v>942550016</v>
      </c>
      <c r="G6" s="137">
        <f t="shared" si="0"/>
        <v>6.7204895683120283E-2</v>
      </c>
      <c r="H6" s="138">
        <f>F6-Votes!D7</f>
        <v>0</v>
      </c>
      <c r="I6" s="154">
        <v>585959519.37030697</v>
      </c>
      <c r="J6" s="156">
        <f t="shared" si="1"/>
        <v>356590496.62969303</v>
      </c>
      <c r="K6" s="154">
        <v>58194465.960000001</v>
      </c>
      <c r="L6" s="156">
        <f t="shared" ref="L6:L19" si="6">B6-K6</f>
        <v>52213416.039999999</v>
      </c>
      <c r="M6" s="155"/>
      <c r="N6" s="155"/>
      <c r="P6" s="149" t="s">
        <v>1677</v>
      </c>
      <c r="Q6" s="149"/>
      <c r="R6" s="131">
        <v>110407882</v>
      </c>
      <c r="S6" s="131">
        <v>55855947.5</v>
      </c>
      <c r="T6" s="131">
        <v>166263829.5</v>
      </c>
      <c r="U6" s="130">
        <v>529286186</v>
      </c>
      <c r="V6" s="130">
        <v>695550015.5</v>
      </c>
      <c r="W6" s="129">
        <v>4.8725838633828102E-2</v>
      </c>
      <c r="X6" s="164">
        <f t="shared" si="2"/>
        <v>-247000000.5</v>
      </c>
      <c r="Z6" s="130">
        <v>4200000</v>
      </c>
      <c r="AB6" s="132">
        <v>690550015.5</v>
      </c>
      <c r="AC6" s="164">
        <f t="shared" si="3"/>
        <v>252000000.5</v>
      </c>
      <c r="AD6" s="130">
        <v>690550015.5</v>
      </c>
      <c r="AE6" s="164">
        <f t="shared" si="4"/>
        <v>-252000000.5</v>
      </c>
    </row>
    <row r="7" spans="1:31">
      <c r="A7" s="135" t="s">
        <v>1678</v>
      </c>
      <c r="B7" s="136">
        <f>Tables!C513</f>
        <v>813444415</v>
      </c>
      <c r="C7" s="136">
        <f>Tables!C514+Tables!C515</f>
        <v>145995353.20725602</v>
      </c>
      <c r="D7" s="136">
        <f t="shared" ref="D7:D19" si="7">B7+C7</f>
        <v>959439768.20725608</v>
      </c>
      <c r="E7" s="136">
        <f>Tables!C516</f>
        <v>131101207</v>
      </c>
      <c r="F7" s="136">
        <f t="shared" si="5"/>
        <v>1090540975.2072561</v>
      </c>
      <c r="G7" s="137">
        <f t="shared" si="0"/>
        <v>7.7756820574890223E-2</v>
      </c>
      <c r="H7" s="138">
        <f>F7-Votes!D8</f>
        <v>0</v>
      </c>
      <c r="I7" s="154">
        <v>898981725.67970097</v>
      </c>
      <c r="J7" s="156">
        <f t="shared" si="1"/>
        <v>191559249.52755511</v>
      </c>
      <c r="K7" s="154">
        <v>612571217.50999999</v>
      </c>
      <c r="L7" s="156">
        <f t="shared" si="6"/>
        <v>200873197.49000001</v>
      </c>
      <c r="M7" s="155"/>
      <c r="N7" s="155"/>
      <c r="P7" s="149" t="s">
        <v>1678</v>
      </c>
      <c r="Q7" s="149"/>
      <c r="R7" s="131">
        <v>813444415</v>
      </c>
      <c r="S7" s="131">
        <v>121495353.207256</v>
      </c>
      <c r="T7" s="131">
        <v>934939768.20725596</v>
      </c>
      <c r="U7" s="130">
        <v>117601207</v>
      </c>
      <c r="V7" s="130">
        <v>1052540975.20726</v>
      </c>
      <c r="W7" s="129">
        <v>7.3734369305669095E-2</v>
      </c>
      <c r="X7" s="164">
        <f t="shared" si="2"/>
        <v>-37999999.999996066</v>
      </c>
      <c r="Z7" s="164">
        <f>Z5-Z6</f>
        <v>5486000</v>
      </c>
      <c r="AB7" s="132">
        <v>1054139169.20726</v>
      </c>
      <c r="AC7" s="164">
        <f t="shared" si="3"/>
        <v>36401805.999996066</v>
      </c>
      <c r="AD7" s="130">
        <v>1054139169.20726</v>
      </c>
      <c r="AE7" s="164">
        <f t="shared" si="4"/>
        <v>-36401805.999996066</v>
      </c>
    </row>
    <row r="8" spans="1:31">
      <c r="A8" s="135" t="s">
        <v>1679</v>
      </c>
      <c r="B8" s="136">
        <f>Tables!C596</f>
        <v>177392181</v>
      </c>
      <c r="C8" s="139">
        <f>Tables!C597+Tables!C598</f>
        <v>33589217</v>
      </c>
      <c r="D8" s="136">
        <f t="shared" si="7"/>
        <v>210981398</v>
      </c>
      <c r="E8" s="136">
        <f>Tables!C599</f>
        <v>441900000</v>
      </c>
      <c r="F8" s="136">
        <f t="shared" si="5"/>
        <v>652881398</v>
      </c>
      <c r="G8" s="137">
        <f t="shared" si="0"/>
        <v>4.6551191450024586E-2</v>
      </c>
      <c r="H8" s="138">
        <f>F8-Votes!D9</f>
        <v>0</v>
      </c>
      <c r="I8" s="154">
        <v>722559699.17155898</v>
      </c>
      <c r="J8" s="156">
        <f t="shared" si="1"/>
        <v>-69678301.171558976</v>
      </c>
      <c r="K8" s="154">
        <v>99203247.290000007</v>
      </c>
      <c r="L8" s="156">
        <f t="shared" si="6"/>
        <v>78188933.709999993</v>
      </c>
      <c r="M8" s="155"/>
      <c r="N8" s="155"/>
      <c r="P8" s="149" t="s">
        <v>1679</v>
      </c>
      <c r="Q8" s="149"/>
      <c r="R8" s="166">
        <v>177392181</v>
      </c>
      <c r="S8" s="166">
        <v>81289217</v>
      </c>
      <c r="T8" s="166">
        <v>258681398</v>
      </c>
      <c r="U8" s="130">
        <v>700298850</v>
      </c>
      <c r="V8" s="130">
        <v>958980248</v>
      </c>
      <c r="W8" s="129">
        <v>6.7180096004291506E-2</v>
      </c>
      <c r="X8" s="164">
        <f t="shared" si="2"/>
        <v>306098850</v>
      </c>
      <c r="Z8" s="130">
        <v>5636000</v>
      </c>
      <c r="AB8" s="132">
        <v>1111435850</v>
      </c>
      <c r="AC8" s="164">
        <f t="shared" si="3"/>
        <v>-458554452</v>
      </c>
      <c r="AD8" s="130">
        <v>1108435850</v>
      </c>
      <c r="AE8" s="164">
        <f t="shared" si="4"/>
        <v>455554452</v>
      </c>
    </row>
    <row r="9" spans="1:31">
      <c r="A9" s="135" t="s">
        <v>1680</v>
      </c>
      <c r="B9" s="136">
        <f>Tables!C702</f>
        <v>2990245988</v>
      </c>
      <c r="C9" s="139">
        <f>Tables!C703+Tables!C704</f>
        <v>825045868.40317154</v>
      </c>
      <c r="D9" s="136">
        <f t="shared" si="7"/>
        <v>3815291856.4031715</v>
      </c>
      <c r="E9" s="136">
        <f>Tables!C705</f>
        <v>347714541</v>
      </c>
      <c r="F9" s="136">
        <f t="shared" si="5"/>
        <v>4163006397.4031715</v>
      </c>
      <c r="G9" s="137">
        <f t="shared" si="0"/>
        <v>0.29682712420180207</v>
      </c>
      <c r="H9" s="138">
        <f>F9-Votes!D10</f>
        <v>0</v>
      </c>
      <c r="I9" s="154">
        <v>3621709874.6199999</v>
      </c>
      <c r="J9" s="156">
        <f t="shared" si="1"/>
        <v>541296522.78317165</v>
      </c>
      <c r="K9" s="154">
        <v>2497270314.6199999</v>
      </c>
      <c r="L9" s="156">
        <f t="shared" si="6"/>
        <v>492975673.38000011</v>
      </c>
      <c r="M9" s="155"/>
      <c r="N9" s="155"/>
      <c r="P9" s="149" t="s">
        <v>1680</v>
      </c>
      <c r="Q9" s="149"/>
      <c r="R9" s="162">
        <v>2893325988</v>
      </c>
      <c r="S9" s="162">
        <v>1083469062.9746001</v>
      </c>
      <c r="T9" s="162">
        <v>3976795050.9745998</v>
      </c>
      <c r="U9" s="130">
        <v>175777346.84380999</v>
      </c>
      <c r="V9" s="130">
        <v>4152572397.8184099</v>
      </c>
      <c r="W9" s="129">
        <v>0.290902980464945</v>
      </c>
      <c r="X9" s="164">
        <f t="shared" si="2"/>
        <v>-10433999.58476162</v>
      </c>
      <c r="Z9" s="164">
        <f>Z7-Z8</f>
        <v>-150000</v>
      </c>
      <c r="AB9" s="132">
        <v>4095387157.8184099</v>
      </c>
      <c r="AC9" s="164">
        <f t="shared" si="3"/>
        <v>67619239.58476162</v>
      </c>
      <c r="AD9" s="130">
        <v>4169387157.8184099</v>
      </c>
      <c r="AE9" s="164">
        <f t="shared" si="4"/>
        <v>6380760.4152383804</v>
      </c>
    </row>
    <row r="10" spans="1:31" ht="30">
      <c r="A10" s="135" t="s">
        <v>1681</v>
      </c>
      <c r="B10" s="136">
        <f>Tables!C955</f>
        <v>86850458</v>
      </c>
      <c r="C10" s="139">
        <f>Tables!C956+Tables!C957</f>
        <v>156915443</v>
      </c>
      <c r="D10" s="136">
        <f t="shared" si="7"/>
        <v>243765901</v>
      </c>
      <c r="E10" s="136">
        <f>Tables!C958</f>
        <v>192354210</v>
      </c>
      <c r="F10" s="136">
        <f t="shared" si="5"/>
        <v>436120111</v>
      </c>
      <c r="G10" s="137">
        <f t="shared" si="0"/>
        <v>3.109586342107265E-2</v>
      </c>
      <c r="H10" s="138">
        <f>F10-Votes!D11</f>
        <v>0</v>
      </c>
      <c r="I10" s="154">
        <v>415902998.09891301</v>
      </c>
      <c r="J10" s="156">
        <f t="shared" si="1"/>
        <v>20217112.901086986</v>
      </c>
      <c r="K10" s="154">
        <v>77217227.25</v>
      </c>
      <c r="L10" s="156">
        <f t="shared" si="6"/>
        <v>9633230.75</v>
      </c>
      <c r="M10" s="155"/>
      <c r="N10" s="155"/>
      <c r="P10" s="149" t="s">
        <v>1681</v>
      </c>
      <c r="Q10" s="149"/>
      <c r="R10" s="131">
        <v>86850458</v>
      </c>
      <c r="S10" s="131">
        <v>134244436</v>
      </c>
      <c r="T10" s="131">
        <v>221094894</v>
      </c>
      <c r="U10" s="130">
        <v>427506313</v>
      </c>
      <c r="V10" s="130">
        <v>648601207</v>
      </c>
      <c r="W10" s="129">
        <v>4.5436901798168602E-2</v>
      </c>
      <c r="X10" s="164">
        <f t="shared" si="2"/>
        <v>212481096</v>
      </c>
      <c r="AB10" s="132">
        <v>704626957</v>
      </c>
      <c r="AC10" s="164">
        <f t="shared" si="3"/>
        <v>-268506846</v>
      </c>
      <c r="AD10" s="130">
        <v>700126957</v>
      </c>
      <c r="AE10" s="164">
        <f t="shared" si="4"/>
        <v>264006846</v>
      </c>
    </row>
    <row r="11" spans="1:31" ht="30">
      <c r="A11" s="135" t="s">
        <v>1682</v>
      </c>
      <c r="B11" s="136">
        <f>Tables!C1058</f>
        <v>54797555</v>
      </c>
      <c r="C11" s="136">
        <f>Tables!C1059+Tables!C1060</f>
        <v>77300381</v>
      </c>
      <c r="D11" s="136">
        <f t="shared" si="7"/>
        <v>132097936</v>
      </c>
      <c r="E11" s="136">
        <f>Tables!C1061</f>
        <v>373779883</v>
      </c>
      <c r="F11" s="136">
        <f t="shared" si="5"/>
        <v>505877819</v>
      </c>
      <c r="G11" s="137">
        <f t="shared" si="0"/>
        <v>3.6069667897920238E-2</v>
      </c>
      <c r="H11" s="138">
        <f>F11-Votes!D12</f>
        <v>0</v>
      </c>
      <c r="I11" s="154">
        <v>248649157.49612901</v>
      </c>
      <c r="J11" s="156">
        <f t="shared" si="1"/>
        <v>257228661.50387099</v>
      </c>
      <c r="K11" s="154">
        <v>77413542.560000002</v>
      </c>
      <c r="L11" s="156">
        <f t="shared" si="6"/>
        <v>-22615987.560000002</v>
      </c>
      <c r="M11" s="155"/>
      <c r="N11" s="155"/>
      <c r="P11" s="149" t="s">
        <v>1682</v>
      </c>
      <c r="Q11" s="149"/>
      <c r="R11" s="162">
        <v>54437555.002255499</v>
      </c>
      <c r="S11" s="162">
        <v>78160381</v>
      </c>
      <c r="T11" s="162">
        <v>132597936.00225601</v>
      </c>
      <c r="U11" s="130">
        <v>413058044</v>
      </c>
      <c r="V11" s="130">
        <v>545655980.00225604</v>
      </c>
      <c r="W11" s="129">
        <v>3.8225209745787497E-2</v>
      </c>
      <c r="X11" s="164">
        <f t="shared" si="2"/>
        <v>39778161.002256036</v>
      </c>
      <c r="AB11" s="132">
        <v>716938406.30225599</v>
      </c>
      <c r="AC11" s="164">
        <f t="shared" si="3"/>
        <v>-211060587.30225599</v>
      </c>
      <c r="AD11" s="130">
        <v>714938406.30225599</v>
      </c>
      <c r="AE11" s="164">
        <f t="shared" si="4"/>
        <v>209060587.30225599</v>
      </c>
    </row>
    <row r="12" spans="1:31" ht="30">
      <c r="A12" s="135" t="s">
        <v>1683</v>
      </c>
      <c r="B12" s="136">
        <f>Tables!C1258</f>
        <v>90018005</v>
      </c>
      <c r="C12" s="136">
        <f>Tables!C1259+Tables!C1260</f>
        <v>112230621.65999998</v>
      </c>
      <c r="D12" s="136">
        <f t="shared" si="7"/>
        <v>202248626.65999997</v>
      </c>
      <c r="E12" s="136">
        <f>Tables!C1261</f>
        <v>68196364</v>
      </c>
      <c r="F12" s="136">
        <f t="shared" si="5"/>
        <v>270444990.65999997</v>
      </c>
      <c r="G12" s="137">
        <f t="shared" si="0"/>
        <v>1.9283037586121838E-2</v>
      </c>
      <c r="H12" s="138">
        <f>F12-Votes!D13</f>
        <v>0</v>
      </c>
      <c r="I12" s="154">
        <v>193203936.31304699</v>
      </c>
      <c r="J12" s="156">
        <f t="shared" si="1"/>
        <v>77241054.346952975</v>
      </c>
      <c r="K12" s="154">
        <v>22123713</v>
      </c>
      <c r="L12" s="156">
        <f t="shared" si="6"/>
        <v>67894292</v>
      </c>
      <c r="M12" s="155"/>
      <c r="N12" s="155"/>
      <c r="P12" s="129" t="s">
        <v>1683</v>
      </c>
      <c r="R12" s="163">
        <v>90018005</v>
      </c>
      <c r="S12" s="163">
        <v>102493081</v>
      </c>
      <c r="T12" s="163">
        <v>192511086</v>
      </c>
      <c r="U12" s="130">
        <v>75933905</v>
      </c>
      <c r="V12" s="130">
        <v>268444991</v>
      </c>
      <c r="W12" s="129">
        <v>1.8805559660756602E-2</v>
      </c>
      <c r="X12" s="164">
        <f t="shared" si="2"/>
        <v>-1999999.6599999666</v>
      </c>
      <c r="AB12" s="132">
        <v>268444991</v>
      </c>
      <c r="AC12" s="164">
        <f t="shared" si="3"/>
        <v>1999999.6599999666</v>
      </c>
      <c r="AD12" s="130">
        <v>263444991</v>
      </c>
      <c r="AE12" s="164">
        <f t="shared" si="4"/>
        <v>-6999999.6599999666</v>
      </c>
    </row>
    <row r="13" spans="1:31" ht="30">
      <c r="A13" s="135" t="s">
        <v>1684</v>
      </c>
      <c r="B13" s="136">
        <f>Tables!C1408</f>
        <v>246115956</v>
      </c>
      <c r="C13" s="136">
        <f>Tables!C1409+Tables!C1410</f>
        <v>149606199.49107826</v>
      </c>
      <c r="D13" s="136">
        <f t="shared" si="7"/>
        <v>395722155.49107826</v>
      </c>
      <c r="E13" s="136">
        <f>Tables!C1411</f>
        <v>451000000</v>
      </c>
      <c r="F13" s="136">
        <f t="shared" si="5"/>
        <v>846722155.49107826</v>
      </c>
      <c r="G13" s="137">
        <f t="shared" si="0"/>
        <v>6.0372259473140434E-2</v>
      </c>
      <c r="H13" s="138">
        <f>F13-Votes!D14</f>
        <v>0</v>
      </c>
      <c r="I13" s="154">
        <v>571122272.55025196</v>
      </c>
      <c r="J13" s="156">
        <f t="shared" si="1"/>
        <v>275599882.9408263</v>
      </c>
      <c r="K13" s="154">
        <v>323189953.20999998</v>
      </c>
      <c r="L13" s="156">
        <f t="shared" si="6"/>
        <v>-77073997.209999979</v>
      </c>
      <c r="M13" s="155"/>
      <c r="N13" s="155"/>
      <c r="P13" s="129" t="s">
        <v>1684</v>
      </c>
      <c r="R13" s="163">
        <v>246115956</v>
      </c>
      <c r="S13" s="163">
        <v>157981199.49107799</v>
      </c>
      <c r="T13" s="163">
        <v>404097155.49107802</v>
      </c>
      <c r="U13" s="130">
        <v>425625000</v>
      </c>
      <c r="V13" s="130">
        <v>829722155.49107802</v>
      </c>
      <c r="W13" s="129">
        <v>5.8125090875467501E-2</v>
      </c>
      <c r="X13" s="164">
        <f t="shared" si="2"/>
        <v>-17000000.000000238</v>
      </c>
      <c r="AB13" s="132">
        <v>905858292.49107802</v>
      </c>
      <c r="AC13" s="164">
        <f t="shared" si="3"/>
        <v>-59136136.999999762</v>
      </c>
      <c r="AD13" s="130">
        <v>827858292.49107802</v>
      </c>
      <c r="AE13" s="164">
        <f t="shared" si="4"/>
        <v>-18863863.000000238</v>
      </c>
    </row>
    <row r="14" spans="1:31">
      <c r="A14" s="135" t="s">
        <v>1685</v>
      </c>
      <c r="B14" s="136">
        <f>Tables!C1553</f>
        <v>328627256</v>
      </c>
      <c r="C14" s="136">
        <f>Tables!C1554+Tables!C1555</f>
        <v>100161048</v>
      </c>
      <c r="D14" s="136">
        <f t="shared" si="7"/>
        <v>428788304</v>
      </c>
      <c r="E14" s="136">
        <f>Tables!C1556</f>
        <v>329695186</v>
      </c>
      <c r="F14" s="136">
        <f t="shared" si="5"/>
        <v>758483490</v>
      </c>
      <c r="G14" s="137">
        <f t="shared" si="0"/>
        <v>5.4080741560158234E-2</v>
      </c>
      <c r="H14" s="138">
        <f>F14-Votes!D15</f>
        <v>0</v>
      </c>
      <c r="I14" s="154">
        <v>803447719.65233696</v>
      </c>
      <c r="J14" s="156">
        <f t="shared" si="1"/>
        <v>-44964229.652336955</v>
      </c>
      <c r="K14" s="154">
        <v>264931809.06</v>
      </c>
      <c r="L14" s="156">
        <f t="shared" si="6"/>
        <v>63695446.939999998</v>
      </c>
      <c r="M14" s="155"/>
      <c r="N14" s="155"/>
      <c r="P14" s="149" t="s">
        <v>1685</v>
      </c>
      <c r="Q14" s="149"/>
      <c r="R14" s="163">
        <v>322521156</v>
      </c>
      <c r="S14" s="163">
        <v>104280300</v>
      </c>
      <c r="T14" s="163">
        <v>426801456</v>
      </c>
      <c r="U14" s="130">
        <v>397972186</v>
      </c>
      <c r="V14" s="130">
        <v>824773642</v>
      </c>
      <c r="W14" s="129">
        <v>5.7778429291871297E-2</v>
      </c>
      <c r="X14" s="164">
        <f t="shared" si="2"/>
        <v>66290152</v>
      </c>
      <c r="AB14" s="132">
        <v>940116593</v>
      </c>
      <c r="AC14" s="164">
        <f t="shared" si="3"/>
        <v>-181633103</v>
      </c>
      <c r="AD14" s="130">
        <v>929816593</v>
      </c>
      <c r="AE14" s="164">
        <f t="shared" si="4"/>
        <v>171333103</v>
      </c>
    </row>
    <row r="15" spans="1:31">
      <c r="A15" s="135" t="s">
        <v>1686</v>
      </c>
      <c r="B15" s="136">
        <f>Tables!C1697</f>
        <v>66945284</v>
      </c>
      <c r="C15" s="136">
        <f>Tables!C1698+Tables!C1699</f>
        <v>56509993.659999996</v>
      </c>
      <c r="D15" s="136">
        <f t="shared" si="7"/>
        <v>123455277.66</v>
      </c>
      <c r="E15" s="136">
        <f>Tables!C1700</f>
        <v>131356414.06999999</v>
      </c>
      <c r="F15" s="136">
        <f t="shared" si="5"/>
        <v>254811691.72999999</v>
      </c>
      <c r="G15" s="137">
        <f t="shared" si="0"/>
        <v>1.8168365466935659E-2</v>
      </c>
      <c r="H15" s="138">
        <f>F15-Votes!D16</f>
        <v>0</v>
      </c>
      <c r="I15" s="154">
        <v>152988034.35808301</v>
      </c>
      <c r="J15" s="156">
        <f t="shared" si="1"/>
        <v>101823657.37191698</v>
      </c>
      <c r="K15" s="154">
        <v>42657551.359999999</v>
      </c>
      <c r="L15" s="156">
        <f t="shared" si="6"/>
        <v>24287732.640000001</v>
      </c>
      <c r="M15" s="155"/>
      <c r="N15" s="155"/>
      <c r="P15" s="149" t="s">
        <v>1686</v>
      </c>
      <c r="Q15" s="149"/>
      <c r="R15" s="131">
        <v>66945284</v>
      </c>
      <c r="S15" s="131">
        <v>49878786.5253563</v>
      </c>
      <c r="T15" s="131">
        <v>116824070.52535599</v>
      </c>
      <c r="U15" s="130">
        <v>180999999.92600101</v>
      </c>
      <c r="V15" s="130">
        <v>297824070.45135701</v>
      </c>
      <c r="W15" s="129">
        <v>2.0863672309245601E-2</v>
      </c>
      <c r="X15" s="164">
        <f t="shared" si="2"/>
        <v>43012378.721357018</v>
      </c>
      <c r="AB15" s="132">
        <v>616792049.65135598</v>
      </c>
      <c r="AC15" s="164">
        <f t="shared" si="3"/>
        <v>-361980357.92135596</v>
      </c>
      <c r="AD15" s="130">
        <v>604492049.65135598</v>
      </c>
      <c r="AE15" s="164">
        <f t="shared" si="4"/>
        <v>349680357.92135596</v>
      </c>
    </row>
    <row r="16" spans="1:31">
      <c r="A16" s="135" t="s">
        <v>1649</v>
      </c>
      <c r="B16" s="136">
        <f>Tables!C1813</f>
        <v>35508829</v>
      </c>
      <c r="C16" s="136">
        <f>Tables!C1814+Tables!C1815</f>
        <v>50271525</v>
      </c>
      <c r="D16" s="136">
        <f t="shared" si="7"/>
        <v>85780354</v>
      </c>
      <c r="E16" s="136">
        <f>Tables!C1816</f>
        <v>128214416</v>
      </c>
      <c r="F16" s="136">
        <f t="shared" si="5"/>
        <v>213994770</v>
      </c>
      <c r="G16" s="137">
        <f t="shared" si="0"/>
        <v>1.5258072198243237E-2</v>
      </c>
      <c r="H16" s="138">
        <f>F16-Votes!D17</f>
        <v>0</v>
      </c>
      <c r="I16" s="154">
        <v>178448398.83841601</v>
      </c>
      <c r="J16" s="156">
        <f t="shared" si="1"/>
        <v>35546371.16158399</v>
      </c>
      <c r="K16" s="154">
        <v>28644300.800000001</v>
      </c>
      <c r="L16" s="156">
        <f t="shared" si="6"/>
        <v>6864528.1999999993</v>
      </c>
      <c r="M16" s="155"/>
      <c r="N16" s="155"/>
      <c r="P16" s="125" t="s">
        <v>1649</v>
      </c>
      <c r="Q16" s="125"/>
      <c r="R16" s="131">
        <v>35508829</v>
      </c>
      <c r="S16" s="167">
        <v>46559814</v>
      </c>
      <c r="T16" s="131">
        <v>82068643</v>
      </c>
      <c r="U16" s="130">
        <v>103461711</v>
      </c>
      <c r="V16" s="130">
        <v>185530354</v>
      </c>
      <c r="W16" s="125">
        <v>1.2997084162498999E-2</v>
      </c>
      <c r="X16" s="164">
        <f t="shared" si="2"/>
        <v>-28464416</v>
      </c>
      <c r="AB16" s="132">
        <v>0</v>
      </c>
      <c r="AC16" s="164">
        <f t="shared" si="3"/>
        <v>213994770</v>
      </c>
      <c r="AD16" s="130">
        <v>0</v>
      </c>
      <c r="AE16" s="164">
        <f t="shared" si="4"/>
        <v>-213994770</v>
      </c>
    </row>
    <row r="17" spans="1:31">
      <c r="A17" s="135" t="s">
        <v>1651</v>
      </c>
      <c r="B17" s="136">
        <f>Tables!C1931</f>
        <v>36853847</v>
      </c>
      <c r="C17" s="136">
        <f>Tables!C1932+Tables!C1933</f>
        <v>36232890</v>
      </c>
      <c r="D17" s="136">
        <f t="shared" si="7"/>
        <v>73086737</v>
      </c>
      <c r="E17" s="136">
        <f>Tables!C1934</f>
        <v>51265280</v>
      </c>
      <c r="F17" s="136">
        <f t="shared" si="5"/>
        <v>124352017</v>
      </c>
      <c r="G17" s="137">
        <f t="shared" si="0"/>
        <v>8.8664412377142225E-3</v>
      </c>
      <c r="H17" s="138">
        <f>F17-Votes!D18</f>
        <v>0</v>
      </c>
      <c r="I17" s="154">
        <v>87362468.501111999</v>
      </c>
      <c r="J17" s="156">
        <f t="shared" si="1"/>
        <v>36989548.498888001</v>
      </c>
      <c r="K17" s="154">
        <v>25850142.760000002</v>
      </c>
      <c r="L17" s="156">
        <f t="shared" si="6"/>
        <v>11003704.239999998</v>
      </c>
      <c r="M17" s="155"/>
      <c r="N17" s="155"/>
      <c r="P17" s="157" t="s">
        <v>1651</v>
      </c>
      <c r="Q17" s="157"/>
      <c r="R17" s="131">
        <v>46853847</v>
      </c>
      <c r="S17" s="131">
        <v>20056869</v>
      </c>
      <c r="T17" s="131">
        <v>66910716</v>
      </c>
      <c r="U17" s="130">
        <v>28676021</v>
      </c>
      <c r="V17" s="130">
        <v>95586737</v>
      </c>
      <c r="W17" s="126">
        <v>6.6962027443102897E-3</v>
      </c>
      <c r="X17" s="164">
        <f t="shared" si="2"/>
        <v>-28765280</v>
      </c>
      <c r="AB17" s="132">
        <v>0</v>
      </c>
      <c r="AC17" s="164">
        <f t="shared" si="3"/>
        <v>124352017</v>
      </c>
      <c r="AD17" s="130">
        <v>0</v>
      </c>
      <c r="AE17" s="164">
        <f t="shared" si="4"/>
        <v>-124352017</v>
      </c>
    </row>
    <row r="18" spans="1:31">
      <c r="A18" s="135" t="s">
        <v>1652</v>
      </c>
      <c r="B18" s="136">
        <f>Tables!C2050</f>
        <v>43598222</v>
      </c>
      <c r="C18" s="136">
        <f>Tables!C2051+Tables!C2052</f>
        <v>39701506</v>
      </c>
      <c r="D18" s="136">
        <f t="shared" si="7"/>
        <v>83299728</v>
      </c>
      <c r="E18" s="136">
        <f>Tables!C2053</f>
        <v>13750000</v>
      </c>
      <c r="F18" s="136">
        <f t="shared" si="5"/>
        <v>97049728</v>
      </c>
      <c r="G18" s="137">
        <f t="shared" si="0"/>
        <v>6.9197567615501459E-3</v>
      </c>
      <c r="H18" s="138">
        <f>F18-Votes!D19</f>
        <v>0</v>
      </c>
      <c r="I18" s="154">
        <v>81252042.899776205</v>
      </c>
      <c r="J18" s="156">
        <f t="shared" si="1"/>
        <v>15797685.100223795</v>
      </c>
      <c r="K18" s="154">
        <v>31847495.829999998</v>
      </c>
      <c r="L18" s="156">
        <f t="shared" si="6"/>
        <v>11750726.170000002</v>
      </c>
      <c r="M18" s="155"/>
      <c r="N18" s="155"/>
      <c r="P18" s="149" t="s">
        <v>1652</v>
      </c>
      <c r="Q18" s="149"/>
      <c r="R18" s="131">
        <v>35769422</v>
      </c>
      <c r="S18" s="131">
        <v>39701506</v>
      </c>
      <c r="T18" s="131">
        <v>75470928</v>
      </c>
      <c r="U18" s="130">
        <v>0</v>
      </c>
      <c r="V18" s="130">
        <v>75470928</v>
      </c>
      <c r="W18" s="129">
        <v>5.2870162854208999E-3</v>
      </c>
      <c r="X18" s="164">
        <f t="shared" si="2"/>
        <v>-21578800</v>
      </c>
      <c r="AB18" s="132">
        <v>85470928</v>
      </c>
      <c r="AC18" s="164">
        <f t="shared" si="3"/>
        <v>11578800</v>
      </c>
      <c r="AD18" s="130">
        <v>85470928</v>
      </c>
      <c r="AE18" s="164">
        <f t="shared" si="4"/>
        <v>-11578800</v>
      </c>
    </row>
    <row r="19" spans="1:31">
      <c r="A19" s="135" t="s">
        <v>1656</v>
      </c>
      <c r="B19" s="136">
        <f>Tables!C2126</f>
        <v>488264486.04400003</v>
      </c>
      <c r="C19" s="136">
        <f>Tables!C2127+Tables!C2128</f>
        <v>519435460.02999997</v>
      </c>
      <c r="D19" s="136">
        <f t="shared" si="7"/>
        <v>1007699946.074</v>
      </c>
      <c r="E19" s="136">
        <f>Tables!C2129</f>
        <v>100000000</v>
      </c>
      <c r="F19" s="136">
        <f t="shared" si="5"/>
        <v>1107699946.0739999</v>
      </c>
      <c r="G19" s="137">
        <f t="shared" si="0"/>
        <v>7.8980274850582705E-2</v>
      </c>
      <c r="H19" s="138">
        <f>F19-Votes!D20</f>
        <v>0</v>
      </c>
      <c r="I19" s="154">
        <v>909689957</v>
      </c>
      <c r="J19" s="156">
        <f t="shared" si="1"/>
        <v>198009989.07399988</v>
      </c>
      <c r="K19" s="154">
        <v>478403137</v>
      </c>
      <c r="L19" s="156">
        <f t="shared" si="6"/>
        <v>9861349.0440000296</v>
      </c>
      <c r="M19" s="155"/>
      <c r="N19" s="155"/>
      <c r="P19" s="129" t="s">
        <v>1656</v>
      </c>
      <c r="R19" s="131">
        <v>488264486.04400003</v>
      </c>
      <c r="S19" s="131">
        <v>457813069.02999997</v>
      </c>
      <c r="T19" s="131">
        <v>946077555.074</v>
      </c>
      <c r="U19" s="130">
        <v>100000000</v>
      </c>
      <c r="V19" s="130">
        <v>1046077555.074</v>
      </c>
      <c r="W19" s="129">
        <v>7.3281582936008394E-2</v>
      </c>
      <c r="X19" s="164">
        <f t="shared" si="2"/>
        <v>-61622390.999999881</v>
      </c>
      <c r="AB19" s="132">
        <v>1247185904.0739999</v>
      </c>
      <c r="AC19" s="164">
        <f t="shared" si="3"/>
        <v>-139485958</v>
      </c>
      <c r="AD19" s="130">
        <v>1247185904.0739999</v>
      </c>
      <c r="AE19" s="164">
        <f t="shared" si="4"/>
        <v>139485958</v>
      </c>
    </row>
    <row r="20" spans="1:31" s="125" customFormat="1">
      <c r="A20" s="140" t="s">
        <v>1687</v>
      </c>
      <c r="B20" s="141">
        <f>SUM(B4:B19)</f>
        <v>6238045911.0449991</v>
      </c>
      <c r="C20" s="141">
        <f t="shared" ref="C20:F20" si="8">SUM(C4:C19)</f>
        <v>3276998318.3597584</v>
      </c>
      <c r="D20" s="141">
        <f t="shared" si="8"/>
        <v>9515044229.4047585</v>
      </c>
      <c r="E20" s="141">
        <f t="shared" si="8"/>
        <v>4509975918.5952396</v>
      </c>
      <c r="F20" s="141">
        <f t="shared" si="8"/>
        <v>14025020147.999996</v>
      </c>
      <c r="G20" s="142">
        <f t="shared" si="0"/>
        <v>1</v>
      </c>
      <c r="H20" s="141"/>
      <c r="I20" s="158">
        <f>SUM(I4:I15)</f>
        <v>10389526252.403299</v>
      </c>
      <c r="J20" s="158">
        <f>SUM(J4:J15)</f>
        <v>2092397434.5226624</v>
      </c>
      <c r="K20" s="159">
        <f>SUM(K4:K15)</f>
        <v>4714701382.8900003</v>
      </c>
      <c r="L20" s="159">
        <f>SUM(L4:L15)</f>
        <v>919119144.11100018</v>
      </c>
      <c r="M20" s="160"/>
      <c r="N20" s="160"/>
      <c r="P20" s="129" t="s">
        <v>1687</v>
      </c>
      <c r="Q20" s="129"/>
      <c r="R20" s="131">
        <v>6109667011.0472498</v>
      </c>
      <c r="S20" s="131">
        <v>3413299689.20293</v>
      </c>
      <c r="T20" s="131">
        <v>9522966700.2501907</v>
      </c>
      <c r="U20" s="130">
        <v>4751800753.7698097</v>
      </c>
      <c r="V20" s="130">
        <v>14274767454.02</v>
      </c>
      <c r="W20" s="129">
        <v>1</v>
      </c>
      <c r="X20" s="164">
        <f t="shared" si="2"/>
        <v>249747306.02000427</v>
      </c>
      <c r="AB20" s="132">
        <v>14841745626.52</v>
      </c>
      <c r="AC20" s="164">
        <f t="shared" si="3"/>
        <v>-816725478.52000427</v>
      </c>
      <c r="AD20" s="130">
        <v>14805495626.52</v>
      </c>
      <c r="AE20" s="164">
        <f t="shared" si="4"/>
        <v>780475478.52000427</v>
      </c>
    </row>
    <row r="21" spans="1:31" s="126" customFormat="1">
      <c r="A21" s="143" t="s">
        <v>1688</v>
      </c>
      <c r="B21" s="144">
        <f>B20/$F$20</f>
        <v>0.44477981815481105</v>
      </c>
      <c r="C21" s="144">
        <f t="shared" ref="C21:F21" si="9">C20/$F$20</f>
        <v>0.23365373338355358</v>
      </c>
      <c r="D21" s="144">
        <f t="shared" si="9"/>
        <v>0.67843355153836471</v>
      </c>
      <c r="E21" s="144">
        <f t="shared" si="9"/>
        <v>0.32156644846163546</v>
      </c>
      <c r="F21" s="144">
        <f t="shared" si="9"/>
        <v>1</v>
      </c>
      <c r="P21" s="125" t="s">
        <v>1688</v>
      </c>
      <c r="Q21" s="125"/>
      <c r="R21" s="157">
        <v>0.42800466142281501</v>
      </c>
      <c r="S21" s="157">
        <v>0.239114206252214</v>
      </c>
      <c r="T21" s="157">
        <v>0.66711886767503004</v>
      </c>
      <c r="U21" s="168">
        <v>0.33288113232497002</v>
      </c>
      <c r="V21" s="168">
        <v>1</v>
      </c>
      <c r="W21" s="125"/>
      <c r="X21" s="169">
        <f t="shared" si="2"/>
        <v>0</v>
      </c>
      <c r="AB21" s="171">
        <v>1</v>
      </c>
      <c r="AC21" s="169">
        <f t="shared" si="3"/>
        <v>0</v>
      </c>
      <c r="AD21" s="168">
        <v>1</v>
      </c>
      <c r="AE21" s="169">
        <f t="shared" si="4"/>
        <v>0</v>
      </c>
    </row>
    <row r="22" spans="1:31">
      <c r="AA22" s="129">
        <v>259265625</v>
      </c>
    </row>
    <row r="23" spans="1:31">
      <c r="A23" s="145"/>
      <c r="B23" s="146"/>
      <c r="C23" s="146"/>
      <c r="D23" s="146"/>
      <c r="E23" s="146"/>
      <c r="F23" s="146"/>
      <c r="G23" s="147"/>
      <c r="I23" s="161"/>
      <c r="AA23" s="149">
        <f>E9-AA22</f>
        <v>88448916</v>
      </c>
    </row>
    <row r="24" spans="1:31">
      <c r="B24" s="128">
        <v>6099055436</v>
      </c>
      <c r="C24" s="128">
        <f>2893325988</f>
        <v>2893325988</v>
      </c>
      <c r="D24" s="128">
        <v>477652911</v>
      </c>
      <c r="E24" s="128">
        <v>5226455454</v>
      </c>
    </row>
    <row r="25" spans="1:31">
      <c r="B25" s="128">
        <f>B24-B20</f>
        <v>-138990475.04499912</v>
      </c>
      <c r="C25" s="128">
        <f>C24-B9</f>
        <v>-96920000</v>
      </c>
      <c r="E25" s="128">
        <f>E20-E24</f>
        <v>-716479535.40476036</v>
      </c>
    </row>
    <row r="26" spans="1:31">
      <c r="B26" s="128">
        <v>35508829</v>
      </c>
      <c r="C26" s="128">
        <f>D24-B19</f>
        <v>-10611575.04400003</v>
      </c>
      <c r="E26" s="128">
        <f>E25-AA23</f>
        <v>-804928451.40476036</v>
      </c>
      <c r="F26" s="128" t="b">
        <f>F20=[1]Sheet1!G559</f>
        <v>0</v>
      </c>
      <c r="AB26" s="132" t="b">
        <v>0</v>
      </c>
    </row>
    <row r="27" spans="1:31">
      <c r="A27" s="129"/>
      <c r="B27" s="148">
        <v>46853847</v>
      </c>
      <c r="C27" s="129"/>
      <c r="D27" s="129"/>
      <c r="E27" s="129"/>
      <c r="F27" s="149"/>
    </row>
    <row r="28" spans="1:31">
      <c r="A28" s="129"/>
      <c r="B28" s="129"/>
      <c r="C28" s="149">
        <f>C25+C26+B26+B27-B25</f>
        <v>113821576.00099909</v>
      </c>
      <c r="D28" s="129"/>
      <c r="E28" s="129"/>
      <c r="F28" s="129"/>
    </row>
    <row r="29" spans="1:31">
      <c r="B29" s="131"/>
    </row>
    <row r="30" spans="1:31">
      <c r="B30" s="131"/>
    </row>
    <row r="31" spans="1:31">
      <c r="A31" s="150"/>
      <c r="B31" s="151"/>
      <c r="C31" s="152"/>
      <c r="D31" s="152"/>
    </row>
    <row r="32" spans="1:31">
      <c r="B32" s="131"/>
    </row>
    <row r="33" spans="1:4">
      <c r="B33" s="131"/>
    </row>
    <row r="34" spans="1:4">
      <c r="B34" s="131"/>
    </row>
    <row r="35" spans="1:4">
      <c r="A35" s="150"/>
      <c r="B35" s="151"/>
      <c r="C35" s="152"/>
      <c r="D35" s="153"/>
    </row>
    <row r="36" spans="1:4">
      <c r="B36" s="131"/>
    </row>
    <row r="37" spans="1:4">
      <c r="B37" s="131"/>
    </row>
    <row r="38" spans="1:4">
      <c r="A38" s="150"/>
      <c r="B38" s="151"/>
      <c r="C38" s="152"/>
      <c r="D38" s="153"/>
    </row>
    <row r="39" spans="1:4">
      <c r="B39" s="131"/>
      <c r="D39" s="153"/>
    </row>
    <row r="40" spans="1:4">
      <c r="B40" s="131"/>
      <c r="D40" s="153"/>
    </row>
    <row r="41" spans="1:4">
      <c r="B41" s="131"/>
    </row>
    <row r="42" spans="1:4">
      <c r="B42" s="131"/>
    </row>
    <row r="43" spans="1:4">
      <c r="A43" s="150"/>
      <c r="B43" s="151"/>
      <c r="C43" s="152"/>
      <c r="D43" s="153"/>
    </row>
    <row r="44" spans="1:4">
      <c r="B44" s="131"/>
    </row>
    <row r="45" spans="1:4">
      <c r="B45" s="131"/>
    </row>
    <row r="46" spans="1:4">
      <c r="A46" s="129"/>
    </row>
    <row r="47" spans="1:4">
      <c r="A47" s="129"/>
    </row>
    <row r="50" spans="1:1">
      <c r="A50" s="150"/>
    </row>
    <row r="54" spans="1:1">
      <c r="A54" s="150"/>
    </row>
    <row r="57" spans="1:1">
      <c r="A57" s="150"/>
    </row>
    <row r="62" spans="1:1">
      <c r="A62" s="150"/>
    </row>
  </sheetData>
  <mergeCells count="7">
    <mergeCell ref="A1:G1"/>
    <mergeCell ref="B2:C2"/>
    <mergeCell ref="A2:A3"/>
    <mergeCell ref="D2:D3"/>
    <mergeCell ref="E2:E3"/>
    <mergeCell ref="F2:F3"/>
    <mergeCell ref="G2:G3"/>
  </mergeCells>
  <conditionalFormatting sqref="E21">
    <cfRule type="cellIs" dxfId="1" priority="1" operator="greaterThan">
      <formula>0.3</formula>
    </cfRule>
  </conditionalFormatting>
  <pageMargins left="0.7" right="0.7" top="0.75" bottom="0.75" header="0.3" footer="0.3"/>
  <pageSetup paperSize="9" scale="85"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Q781"/>
  <sheetViews>
    <sheetView showGridLines="0" zoomScale="88" zoomScaleNormal="88" workbookViewId="0">
      <pane xSplit="1" ySplit="3" topLeftCell="AI4" activePane="bottomRight" state="frozen"/>
      <selection activeCell="J789" sqref="J789"/>
      <selection pane="topRight" activeCell="J789" sqref="J789"/>
      <selection pane="bottomLeft" activeCell="J789" sqref="J789"/>
      <selection pane="bottomRight" activeCell="AQ20" sqref="AQ20"/>
    </sheetView>
  </sheetViews>
  <sheetFormatPr defaultColWidth="8.53125" defaultRowHeight="14.25"/>
  <cols>
    <col min="1" max="1" width="52.33203125" style="73" customWidth="1"/>
    <col min="2" max="3" width="19.33203125" style="74" customWidth="1"/>
    <col min="4" max="4" width="27" style="74" customWidth="1"/>
    <col min="5" max="5" width="24.59765625" style="74" customWidth="1"/>
    <col min="6" max="6" width="28.33203125" style="74" customWidth="1"/>
    <col min="7" max="7" width="11.06640625" style="75" customWidth="1"/>
    <col min="8" max="8" width="11.06640625" style="132" customWidth="1"/>
    <col min="9" max="9" width="19.46484375" style="76" bestFit="1" customWidth="1"/>
    <col min="10" max="10" width="14.46484375" style="75" customWidth="1"/>
    <col min="11" max="11" width="17.46484375" style="75" customWidth="1"/>
    <col min="12" max="15" width="8.53125" style="75" customWidth="1"/>
    <col min="16" max="16" width="68" style="75" customWidth="1"/>
    <col min="17" max="17" width="5.796875" style="75" customWidth="1"/>
    <col min="18" max="18" width="23.06640625" style="77" customWidth="1"/>
    <col min="19" max="20" width="17.796875" style="77" customWidth="1"/>
    <col min="21" max="22" width="22.33203125" style="76" customWidth="1"/>
    <col min="23" max="23" width="8.796875" style="75" customWidth="1"/>
    <col min="24" max="24" width="19" style="75" customWidth="1"/>
    <col min="25" max="25" width="8.53125" style="75" customWidth="1"/>
    <col min="26" max="26" width="16.33203125" style="75" customWidth="1"/>
    <col min="27" max="27" width="12.46484375" style="75" customWidth="1"/>
    <col min="28" max="28" width="17.53125" style="78" customWidth="1"/>
    <col min="29" max="29" width="18.796875" style="75" customWidth="1"/>
    <col min="30" max="30" width="24.59765625" style="76" hidden="1" customWidth="1"/>
    <col min="31" max="31" width="17.59765625" style="75" hidden="1" customWidth="1"/>
    <col min="32" max="32" width="17.59765625" style="75" customWidth="1"/>
    <col min="33" max="33" width="61.33203125" style="75" bestFit="1" customWidth="1"/>
    <col min="34" max="34" width="13.796875" style="75" customWidth="1"/>
    <col min="35" max="35" width="13.86328125" style="75" bestFit="1" customWidth="1"/>
    <col min="36" max="36" width="14.59765625" style="75" customWidth="1"/>
    <col min="37" max="37" width="15" style="75" customWidth="1"/>
    <col min="38" max="39" width="8.53125" style="75" customWidth="1"/>
    <col min="40" max="40" width="13.46484375" style="75" bestFit="1" customWidth="1"/>
    <col min="41" max="41" width="13.796875" style="75" bestFit="1" customWidth="1"/>
    <col min="42" max="42" width="14.59765625" style="75" bestFit="1" customWidth="1"/>
    <col min="43" max="43" width="14.796875" style="75"/>
    <col min="44" max="16384" width="8.53125" style="75"/>
  </cols>
  <sheetData>
    <row r="1" spans="1:43">
      <c r="A1" s="833" t="s">
        <v>1664</v>
      </c>
      <c r="B1" s="833"/>
      <c r="C1" s="833"/>
      <c r="D1" s="833"/>
      <c r="E1" s="833"/>
      <c r="F1" s="833"/>
      <c r="G1" s="833"/>
      <c r="I1" s="98"/>
      <c r="J1" s="99"/>
      <c r="K1" s="99"/>
      <c r="L1" s="99"/>
      <c r="M1" s="99"/>
      <c r="N1" s="99"/>
      <c r="P1" s="93" t="s">
        <v>1665</v>
      </c>
      <c r="Q1" s="93"/>
      <c r="R1" s="106"/>
      <c r="S1" s="106"/>
      <c r="T1" s="106"/>
      <c r="AN1" s="75" t="s">
        <v>1689</v>
      </c>
    </row>
    <row r="2" spans="1:43">
      <c r="A2" s="835" t="s">
        <v>1666</v>
      </c>
      <c r="B2" s="834" t="s">
        <v>1667</v>
      </c>
      <c r="C2" s="834"/>
      <c r="D2" s="834" t="s">
        <v>1668</v>
      </c>
      <c r="E2" s="834" t="s">
        <v>1669</v>
      </c>
      <c r="F2" s="834" t="s">
        <v>1670</v>
      </c>
      <c r="G2" s="833" t="s">
        <v>1671</v>
      </c>
      <c r="I2" s="98"/>
      <c r="J2" s="99"/>
      <c r="K2" s="99"/>
      <c r="L2" s="99"/>
      <c r="M2" s="99"/>
      <c r="N2" s="99"/>
      <c r="P2" s="93" t="s">
        <v>1666</v>
      </c>
      <c r="Q2" s="93"/>
      <c r="R2" s="107" t="s">
        <v>1667</v>
      </c>
      <c r="S2" s="107"/>
      <c r="T2" s="107" t="s">
        <v>1668</v>
      </c>
      <c r="U2" s="76" t="s">
        <v>1669</v>
      </c>
      <c r="V2" s="76" t="s">
        <v>1670</v>
      </c>
      <c r="W2" s="75" t="s">
        <v>1671</v>
      </c>
      <c r="AB2" s="114" t="s">
        <v>1670</v>
      </c>
      <c r="AD2" s="76" t="s">
        <v>1670</v>
      </c>
      <c r="AH2" s="75" t="s">
        <v>1690</v>
      </c>
    </row>
    <row r="3" spans="1:43">
      <c r="A3" s="835"/>
      <c r="B3" s="79" t="s">
        <v>1672</v>
      </c>
      <c r="C3" s="79" t="s">
        <v>1673</v>
      </c>
      <c r="D3" s="834"/>
      <c r="E3" s="834"/>
      <c r="F3" s="834"/>
      <c r="G3" s="833"/>
      <c r="I3" s="98"/>
      <c r="J3" s="99"/>
      <c r="K3" s="99"/>
      <c r="L3" s="99"/>
      <c r="M3" s="99"/>
      <c r="N3" s="99"/>
      <c r="P3" s="93"/>
      <c r="Q3" s="93"/>
      <c r="R3" s="77" t="s">
        <v>1672</v>
      </c>
      <c r="S3" s="77" t="s">
        <v>1673</v>
      </c>
      <c r="AG3" s="117" t="s">
        <v>1691</v>
      </c>
      <c r="AH3" s="117" t="s">
        <v>1672</v>
      </c>
      <c r="AI3" s="118" t="s">
        <v>1673</v>
      </c>
      <c r="AJ3" s="118" t="s">
        <v>71</v>
      </c>
      <c r="AK3" s="119" t="s">
        <v>550</v>
      </c>
      <c r="AM3" s="117" t="s">
        <v>1691</v>
      </c>
      <c r="AN3" s="117" t="s">
        <v>1672</v>
      </c>
      <c r="AO3" s="118" t="s">
        <v>1673</v>
      </c>
      <c r="AP3" s="118" t="s">
        <v>71</v>
      </c>
      <c r="AQ3" s="119" t="s">
        <v>550</v>
      </c>
    </row>
    <row r="4" spans="1:43">
      <c r="A4" s="80" t="s">
        <v>1674</v>
      </c>
      <c r="B4" s="81">
        <f>Tables!C46</f>
        <v>589307167</v>
      </c>
      <c r="C4" s="81">
        <f>Tables!C47+Tables!C48</f>
        <v>838188656.90825272</v>
      </c>
      <c r="D4" s="81">
        <f t="shared" ref="D4:D19" si="0">B4+C4</f>
        <v>1427495823.9082527</v>
      </c>
      <c r="E4" s="81">
        <f>Tables!C49</f>
        <v>935279423.52523994</v>
      </c>
      <c r="F4" s="81">
        <f t="shared" ref="F4:F19" si="1">SUM(D4,E4)</f>
        <v>2362775247.4334927</v>
      </c>
      <c r="G4" s="82">
        <f t="shared" ref="G4:G20" si="2">F4/$F$20</f>
        <v>0.16846858132823647</v>
      </c>
      <c r="H4" s="132">
        <f>F4-Votes!D5</f>
        <v>0</v>
      </c>
      <c r="I4" s="98">
        <v>1984644129.45</v>
      </c>
      <c r="J4" s="100">
        <f t="shared" ref="J4:J19" si="3">F4-I4</f>
        <v>378131117.98349261</v>
      </c>
      <c r="K4" s="98">
        <v>578217887.07000005</v>
      </c>
      <c r="L4" s="100">
        <f t="shared" ref="L4:L19" si="4">B4-K4</f>
        <v>11089279.929999948</v>
      </c>
      <c r="M4" s="99"/>
      <c r="N4" s="99"/>
      <c r="P4" s="93" t="s">
        <v>1674</v>
      </c>
      <c r="Q4" s="93"/>
      <c r="R4" s="107">
        <v>562143167</v>
      </c>
      <c r="S4" s="107">
        <v>805482459.47464395</v>
      </c>
      <c r="T4" s="107">
        <v>1367625626.4746399</v>
      </c>
      <c r="U4" s="76">
        <v>1032101176</v>
      </c>
      <c r="V4" s="76">
        <v>2399726802.4746399</v>
      </c>
      <c r="W4" s="75">
        <v>0.16810969497081699</v>
      </c>
      <c r="X4" s="108">
        <f t="shared" ref="X4:X21" si="5">V4-F4</f>
        <v>36951555.041147232</v>
      </c>
      <c r="AB4" s="78">
        <v>2196814917.4746399</v>
      </c>
      <c r="AC4" s="108">
        <f t="shared" ref="AC4:AC21" si="6">F4-AB4</f>
        <v>165960329.95885277</v>
      </c>
      <c r="AD4" s="76">
        <v>2211939917.4746399</v>
      </c>
      <c r="AE4" s="108">
        <f t="shared" ref="AE4:AE21" si="7">AD4-F4</f>
        <v>-150835329.95885277</v>
      </c>
      <c r="AF4" s="108" t="b">
        <f>AG4=A4</f>
        <v>1</v>
      </c>
      <c r="AG4" s="120" t="s">
        <v>1692</v>
      </c>
      <c r="AH4" s="121">
        <v>589307167</v>
      </c>
      <c r="AI4" s="122">
        <v>796218081</v>
      </c>
      <c r="AJ4" s="122">
        <v>977250000</v>
      </c>
      <c r="AK4" s="123">
        <v>2362775248</v>
      </c>
      <c r="AN4" s="725">
        <f>B4-AH4</f>
        <v>0</v>
      </c>
      <c r="AO4" s="93">
        <f>C4-AI4</f>
        <v>41970575.908252716</v>
      </c>
      <c r="AP4" s="93">
        <f>E4-AJ4</f>
        <v>-41970576.474760056</v>
      </c>
      <c r="AQ4" s="109">
        <f>SUM(AN4:AP4)</f>
        <v>-0.56650733947753906</v>
      </c>
    </row>
    <row r="5" spans="1:43">
      <c r="A5" s="80" t="s">
        <v>1675</v>
      </c>
      <c r="B5" s="81">
        <f>Tables!C306</f>
        <v>79668380.001000002</v>
      </c>
      <c r="C5" s="81">
        <f>Tables!C307+Tables!C308</f>
        <v>74538207</v>
      </c>
      <c r="D5" s="81">
        <f t="shared" si="0"/>
        <v>154206587.00099999</v>
      </c>
      <c r="E5" s="81">
        <f>Tables!C309</f>
        <v>43502808</v>
      </c>
      <c r="F5" s="81">
        <f t="shared" si="1"/>
        <v>197709395.00099999</v>
      </c>
      <c r="G5" s="82">
        <f t="shared" si="2"/>
        <v>1.4096906308487112E-2</v>
      </c>
      <c r="H5" s="132">
        <f>F5-Votes!D6</f>
        <v>0</v>
      </c>
      <c r="I5" s="98">
        <v>190357185.64300799</v>
      </c>
      <c r="J5" s="100">
        <f t="shared" si="3"/>
        <v>7352209.3579919934</v>
      </c>
      <c r="K5" s="98">
        <v>61710454</v>
      </c>
      <c r="L5" s="100">
        <f t="shared" si="4"/>
        <v>17957926.001000002</v>
      </c>
      <c r="M5" s="99">
        <v>4699696.2569917096</v>
      </c>
      <c r="N5" s="100">
        <f>L5-M5</f>
        <v>13258229.744008292</v>
      </c>
      <c r="P5" s="93" t="s">
        <v>1675</v>
      </c>
      <c r="Q5" s="109" t="s">
        <v>1676</v>
      </c>
      <c r="R5" s="110">
        <v>79668380.001000002</v>
      </c>
      <c r="S5" s="110">
        <v>74538207</v>
      </c>
      <c r="T5" s="110">
        <v>154206587.00099999</v>
      </c>
      <c r="U5" s="76">
        <v>43502808</v>
      </c>
      <c r="V5" s="76">
        <v>197709395.00099999</v>
      </c>
      <c r="W5" s="75">
        <v>1.3850270810914099E-2</v>
      </c>
      <c r="X5" s="108">
        <f t="shared" si="5"/>
        <v>0</v>
      </c>
      <c r="Z5" s="115">
        <v>9686000</v>
      </c>
      <c r="AB5" s="78">
        <v>207984395.00099999</v>
      </c>
      <c r="AC5" s="108">
        <f t="shared" si="6"/>
        <v>-10275000</v>
      </c>
      <c r="AD5" s="76">
        <v>197709395.00099999</v>
      </c>
      <c r="AE5" s="108">
        <f t="shared" si="7"/>
        <v>0</v>
      </c>
      <c r="AF5" s="108" t="b">
        <f t="shared" ref="AF5:AF18" si="8">AG5=A5</f>
        <v>1</v>
      </c>
      <c r="AG5" s="120" t="s">
        <v>1693</v>
      </c>
      <c r="AH5" s="121">
        <v>79668380</v>
      </c>
      <c r="AI5" s="122">
        <v>74538207</v>
      </c>
      <c r="AJ5" s="122">
        <v>43502808</v>
      </c>
      <c r="AK5" s="124">
        <v>197709395</v>
      </c>
      <c r="AN5" s="93">
        <f t="shared" ref="AN5:AN21" si="9">B5-AH5</f>
        <v>1.0000020265579224E-3</v>
      </c>
      <c r="AO5" s="93">
        <f t="shared" ref="AO5:AO21" si="10">C5-AI5</f>
        <v>0</v>
      </c>
      <c r="AP5" s="93">
        <f t="shared" ref="AP5:AP21" si="11">E5-AJ5</f>
        <v>0</v>
      </c>
      <c r="AQ5" s="93">
        <f t="shared" ref="AQ5:AQ21" si="12">SUM(AN5:AP5)</f>
        <v>1.0000020265579224E-3</v>
      </c>
    </row>
    <row r="6" spans="1:43">
      <c r="A6" s="80" t="s">
        <v>1677</v>
      </c>
      <c r="B6" s="81">
        <f>Tables!C413</f>
        <v>110407882</v>
      </c>
      <c r="C6" s="81">
        <f>Tables!C414+Tables!C415</f>
        <v>61275948</v>
      </c>
      <c r="D6" s="81">
        <f t="shared" si="0"/>
        <v>171683830</v>
      </c>
      <c r="E6" s="81">
        <f>Tables!C416</f>
        <v>770866186</v>
      </c>
      <c r="F6" s="81">
        <f t="shared" si="1"/>
        <v>942550016</v>
      </c>
      <c r="G6" s="82">
        <f t="shared" si="2"/>
        <v>6.7204895683120283E-2</v>
      </c>
      <c r="H6" s="132">
        <f>F6-Votes!D7</f>
        <v>0</v>
      </c>
      <c r="I6" s="98">
        <v>585959519.37030697</v>
      </c>
      <c r="J6" s="100">
        <f t="shared" si="3"/>
        <v>356590496.62969303</v>
      </c>
      <c r="K6" s="98">
        <v>58194465.960000001</v>
      </c>
      <c r="L6" s="100">
        <f t="shared" si="4"/>
        <v>52213416.039999999</v>
      </c>
      <c r="M6" s="99"/>
      <c r="N6" s="99"/>
      <c r="P6" s="93" t="s">
        <v>1677</v>
      </c>
      <c r="Q6" s="93"/>
      <c r="R6" s="77">
        <v>110407882</v>
      </c>
      <c r="S6" s="77">
        <v>55855947.5</v>
      </c>
      <c r="T6" s="77">
        <v>166263829.5</v>
      </c>
      <c r="U6" s="76">
        <v>529286186</v>
      </c>
      <c r="V6" s="76">
        <v>695550015.5</v>
      </c>
      <c r="W6" s="75">
        <v>4.8725838633828102E-2</v>
      </c>
      <c r="X6" s="108">
        <f t="shared" si="5"/>
        <v>-247000000.5</v>
      </c>
      <c r="Z6" s="76">
        <v>4200000</v>
      </c>
      <c r="AB6" s="78">
        <v>690550015.5</v>
      </c>
      <c r="AC6" s="108">
        <f t="shared" si="6"/>
        <v>252000000.5</v>
      </c>
      <c r="AD6" s="76">
        <v>690550015.5</v>
      </c>
      <c r="AE6" s="108">
        <f t="shared" si="7"/>
        <v>-252000000.5</v>
      </c>
      <c r="AF6" s="108" t="b">
        <f t="shared" si="8"/>
        <v>1</v>
      </c>
      <c r="AG6" s="120" t="s">
        <v>1694</v>
      </c>
      <c r="AH6" s="121">
        <v>110407882</v>
      </c>
      <c r="AI6" s="122">
        <v>61275948</v>
      </c>
      <c r="AJ6" s="122">
        <v>542866186</v>
      </c>
      <c r="AK6" s="124">
        <v>714550016</v>
      </c>
      <c r="AN6" s="93">
        <f t="shared" si="9"/>
        <v>0</v>
      </c>
      <c r="AO6" s="93">
        <f t="shared" si="10"/>
        <v>0</v>
      </c>
      <c r="AP6" s="93">
        <f t="shared" si="11"/>
        <v>228000000</v>
      </c>
      <c r="AQ6" s="93">
        <f t="shared" si="12"/>
        <v>228000000</v>
      </c>
    </row>
    <row r="7" spans="1:43">
      <c r="A7" s="80" t="s">
        <v>1678</v>
      </c>
      <c r="B7" s="81">
        <f>Tables!C513</f>
        <v>813444415</v>
      </c>
      <c r="C7" s="81">
        <f>Tables!C514+Tables!C515</f>
        <v>145995353.20725602</v>
      </c>
      <c r="D7" s="81">
        <f t="shared" si="0"/>
        <v>959439768.20725608</v>
      </c>
      <c r="E7" s="81">
        <f>Tables!C516</f>
        <v>131101207</v>
      </c>
      <c r="F7" s="81">
        <f t="shared" si="1"/>
        <v>1090540975.2072561</v>
      </c>
      <c r="G7" s="82">
        <f t="shared" si="2"/>
        <v>7.7756820574890223E-2</v>
      </c>
      <c r="H7" s="132">
        <f>F7-Votes!D8</f>
        <v>0</v>
      </c>
      <c r="I7" s="98">
        <v>898981725.67970097</v>
      </c>
      <c r="J7" s="100">
        <f t="shared" si="3"/>
        <v>191559249.52755511</v>
      </c>
      <c r="K7" s="98">
        <v>612571217.50999999</v>
      </c>
      <c r="L7" s="100">
        <f t="shared" si="4"/>
        <v>200873197.49000001</v>
      </c>
      <c r="M7" s="99"/>
      <c r="N7" s="99"/>
      <c r="P7" s="93" t="s">
        <v>1678</v>
      </c>
      <c r="Q7" s="93"/>
      <c r="R7" s="77">
        <v>813444415</v>
      </c>
      <c r="S7" s="77">
        <v>121495353.207256</v>
      </c>
      <c r="T7" s="77">
        <v>934939768.20725596</v>
      </c>
      <c r="U7" s="76">
        <v>117601207</v>
      </c>
      <c r="V7" s="76">
        <v>1052540975.20726</v>
      </c>
      <c r="W7" s="75">
        <v>7.3734369305669095E-2</v>
      </c>
      <c r="X7" s="108">
        <f t="shared" si="5"/>
        <v>-37999999.999996066</v>
      </c>
      <c r="Z7" s="108">
        <f>Z5-Z6</f>
        <v>5486000</v>
      </c>
      <c r="AB7" s="78">
        <v>1054139169.20726</v>
      </c>
      <c r="AC7" s="108">
        <f t="shared" si="6"/>
        <v>36401805.999996066</v>
      </c>
      <c r="AD7" s="76">
        <v>1054139169.20726</v>
      </c>
      <c r="AE7" s="108">
        <f t="shared" si="7"/>
        <v>-36401805.999996066</v>
      </c>
      <c r="AF7" s="108" t="b">
        <f t="shared" si="8"/>
        <v>1</v>
      </c>
      <c r="AG7" s="120" t="s">
        <v>1695</v>
      </c>
      <c r="AH7" s="121">
        <v>813444415</v>
      </c>
      <c r="AI7" s="122">
        <v>165995353</v>
      </c>
      <c r="AJ7" s="122">
        <v>111101207</v>
      </c>
      <c r="AK7" s="124">
        <v>1090540975</v>
      </c>
      <c r="AN7" s="93">
        <f t="shared" si="9"/>
        <v>0</v>
      </c>
      <c r="AO7" s="93">
        <f t="shared" si="10"/>
        <v>-19999999.792743981</v>
      </c>
      <c r="AP7" s="93">
        <f t="shared" si="11"/>
        <v>20000000</v>
      </c>
      <c r="AQ7" s="109">
        <f t="shared" si="12"/>
        <v>0.207256019115448</v>
      </c>
    </row>
    <row r="8" spans="1:43">
      <c r="A8" s="80" t="s">
        <v>1679</v>
      </c>
      <c r="B8" s="81">
        <f>Tables!C596</f>
        <v>177392181</v>
      </c>
      <c r="C8" s="83">
        <f>Tables!C597+Tables!C598</f>
        <v>33589217</v>
      </c>
      <c r="D8" s="81">
        <f t="shared" si="0"/>
        <v>210981398</v>
      </c>
      <c r="E8" s="81">
        <f>Tables!C599</f>
        <v>441900000</v>
      </c>
      <c r="F8" s="81">
        <f t="shared" si="1"/>
        <v>652881398</v>
      </c>
      <c r="G8" s="82">
        <f t="shared" si="2"/>
        <v>4.6551191450024586E-2</v>
      </c>
      <c r="H8" s="132">
        <f>F8-Votes!D9</f>
        <v>0</v>
      </c>
      <c r="I8" s="98">
        <v>722559699.17155898</v>
      </c>
      <c r="J8" s="100">
        <f t="shared" si="3"/>
        <v>-69678301.171558976</v>
      </c>
      <c r="K8" s="98">
        <v>99203247.290000007</v>
      </c>
      <c r="L8" s="100">
        <f t="shared" si="4"/>
        <v>78188933.709999993</v>
      </c>
      <c r="M8" s="99"/>
      <c r="N8" s="99"/>
      <c r="P8" s="93" t="s">
        <v>1679</v>
      </c>
      <c r="Q8" s="93"/>
      <c r="R8" s="110">
        <v>177392181</v>
      </c>
      <c r="S8" s="110">
        <v>81289217</v>
      </c>
      <c r="T8" s="110">
        <v>258681398</v>
      </c>
      <c r="U8" s="76">
        <v>700298850</v>
      </c>
      <c r="V8" s="76">
        <v>958980248</v>
      </c>
      <c r="W8" s="75">
        <v>6.7180096004291506E-2</v>
      </c>
      <c r="X8" s="108">
        <f t="shared" si="5"/>
        <v>306098850</v>
      </c>
      <c r="Z8" s="76">
        <v>5636000</v>
      </c>
      <c r="AB8" s="78">
        <v>1111435850</v>
      </c>
      <c r="AC8" s="108">
        <f t="shared" si="6"/>
        <v>-458554452</v>
      </c>
      <c r="AD8" s="76">
        <v>1108435850</v>
      </c>
      <c r="AE8" s="108">
        <f t="shared" si="7"/>
        <v>455554452</v>
      </c>
      <c r="AF8" s="108" t="b">
        <f t="shared" si="8"/>
        <v>1</v>
      </c>
      <c r="AG8" s="120" t="s">
        <v>1679</v>
      </c>
      <c r="AH8" s="121">
        <v>177932181</v>
      </c>
      <c r="AI8" s="122">
        <v>33049217</v>
      </c>
      <c r="AJ8" s="122">
        <v>441900000</v>
      </c>
      <c r="AK8" s="124">
        <v>652881398</v>
      </c>
      <c r="AN8" s="93">
        <f t="shared" si="9"/>
        <v>-540000</v>
      </c>
      <c r="AO8" s="93">
        <f t="shared" si="10"/>
        <v>540000</v>
      </c>
      <c r="AP8" s="93">
        <f t="shared" si="11"/>
        <v>0</v>
      </c>
      <c r="AQ8" s="93">
        <f t="shared" si="12"/>
        <v>0</v>
      </c>
    </row>
    <row r="9" spans="1:43">
      <c r="A9" s="80" t="s">
        <v>1680</v>
      </c>
      <c r="B9" s="81">
        <f>Tables!C702</f>
        <v>2990245988</v>
      </c>
      <c r="C9" s="83">
        <f>Tables!C703+Tables!C704</f>
        <v>825045868.40317154</v>
      </c>
      <c r="D9" s="81">
        <f t="shared" si="0"/>
        <v>3815291856.4031715</v>
      </c>
      <c r="E9" s="81">
        <f>Tables!C705</f>
        <v>347714541</v>
      </c>
      <c r="F9" s="81">
        <f t="shared" si="1"/>
        <v>4163006397.4031715</v>
      </c>
      <c r="G9" s="82">
        <f t="shared" si="2"/>
        <v>0.29682712420180207</v>
      </c>
      <c r="H9" s="132">
        <f>F9-Votes!D10</f>
        <v>0</v>
      </c>
      <c r="I9" s="98">
        <v>3621709874.6199999</v>
      </c>
      <c r="J9" s="100">
        <f t="shared" si="3"/>
        <v>541296522.78317165</v>
      </c>
      <c r="K9" s="98">
        <v>2497270314.6199999</v>
      </c>
      <c r="L9" s="100">
        <f t="shared" si="4"/>
        <v>492975673.38000011</v>
      </c>
      <c r="M9" s="99"/>
      <c r="N9" s="99"/>
      <c r="P9" s="93" t="s">
        <v>1680</v>
      </c>
      <c r="Q9" s="93"/>
      <c r="R9" s="106">
        <v>2893325988</v>
      </c>
      <c r="S9" s="106">
        <v>1083469062.9746001</v>
      </c>
      <c r="T9" s="106">
        <v>3976795050.9745998</v>
      </c>
      <c r="U9" s="76">
        <v>175777346.84380999</v>
      </c>
      <c r="V9" s="76">
        <v>4152572397.8184099</v>
      </c>
      <c r="W9" s="75">
        <v>0.290902980464945</v>
      </c>
      <c r="X9" s="108">
        <f t="shared" si="5"/>
        <v>-10433999.58476162</v>
      </c>
      <c r="Z9" s="108">
        <f>Z7-Z8</f>
        <v>-150000</v>
      </c>
      <c r="AB9" s="78">
        <v>4095387157.8184099</v>
      </c>
      <c r="AC9" s="108">
        <f t="shared" si="6"/>
        <v>67619239.58476162</v>
      </c>
      <c r="AD9" s="76">
        <v>4169387157.8184099</v>
      </c>
      <c r="AE9" s="108">
        <f t="shared" si="7"/>
        <v>6380760.4152383804</v>
      </c>
      <c r="AF9" s="108" t="b">
        <f t="shared" si="8"/>
        <v>1</v>
      </c>
      <c r="AG9" s="120" t="s">
        <v>1696</v>
      </c>
      <c r="AH9" s="121">
        <v>2990245988</v>
      </c>
      <c r="AI9" s="122">
        <v>825045868</v>
      </c>
      <c r="AJ9" s="122">
        <v>347714541</v>
      </c>
      <c r="AK9" s="124">
        <v>4163006397</v>
      </c>
      <c r="AN9" s="93">
        <f t="shared" si="9"/>
        <v>0</v>
      </c>
      <c r="AO9" s="93">
        <f t="shared" si="10"/>
        <v>0.40317153930664063</v>
      </c>
      <c r="AP9" s="93">
        <f t="shared" si="11"/>
        <v>0</v>
      </c>
      <c r="AQ9" s="93">
        <f t="shared" si="12"/>
        <v>0.40317153930664063</v>
      </c>
    </row>
    <row r="10" spans="1:43">
      <c r="A10" s="80" t="s">
        <v>1681</v>
      </c>
      <c r="B10" s="81">
        <f>Tables!C955</f>
        <v>86850458</v>
      </c>
      <c r="C10" s="83">
        <f>Tables!C956+Tables!C957</f>
        <v>156915443</v>
      </c>
      <c r="D10" s="81">
        <f t="shared" si="0"/>
        <v>243765901</v>
      </c>
      <c r="E10" s="81">
        <f>Tables!C958</f>
        <v>192354210</v>
      </c>
      <c r="F10" s="81">
        <f t="shared" si="1"/>
        <v>436120111</v>
      </c>
      <c r="G10" s="82">
        <f t="shared" si="2"/>
        <v>3.109586342107265E-2</v>
      </c>
      <c r="H10" s="132">
        <f>F10-Votes!D11</f>
        <v>0</v>
      </c>
      <c r="I10" s="98">
        <v>415902998.09891301</v>
      </c>
      <c r="J10" s="100">
        <f t="shared" si="3"/>
        <v>20217112.901086986</v>
      </c>
      <c r="K10" s="98">
        <v>77217227.25</v>
      </c>
      <c r="L10" s="100">
        <f t="shared" si="4"/>
        <v>9633230.75</v>
      </c>
      <c r="M10" s="99"/>
      <c r="N10" s="99"/>
      <c r="P10" s="93" t="s">
        <v>1681</v>
      </c>
      <c r="Q10" s="93"/>
      <c r="R10" s="77">
        <v>86850458</v>
      </c>
      <c r="S10" s="77">
        <v>134244436</v>
      </c>
      <c r="T10" s="77">
        <v>221094894</v>
      </c>
      <c r="U10" s="76">
        <v>427506313</v>
      </c>
      <c r="V10" s="76">
        <v>648601207</v>
      </c>
      <c r="W10" s="75">
        <v>4.5436901798168602E-2</v>
      </c>
      <c r="X10" s="108">
        <f t="shared" si="5"/>
        <v>212481096</v>
      </c>
      <c r="AB10" s="78">
        <v>704626957</v>
      </c>
      <c r="AC10" s="108">
        <f t="shared" si="6"/>
        <v>-268506846</v>
      </c>
      <c r="AD10" s="76">
        <v>700126957</v>
      </c>
      <c r="AE10" s="108">
        <f t="shared" si="7"/>
        <v>264006846</v>
      </c>
      <c r="AF10" s="108" t="b">
        <f t="shared" si="8"/>
        <v>1</v>
      </c>
      <c r="AG10" s="120" t="s">
        <v>1697</v>
      </c>
      <c r="AH10" s="121">
        <v>86850458</v>
      </c>
      <c r="AI10" s="122">
        <v>133496539</v>
      </c>
      <c r="AJ10" s="122">
        <v>215773114</v>
      </c>
      <c r="AK10" s="124">
        <v>436120111</v>
      </c>
      <c r="AN10" s="93">
        <f t="shared" si="9"/>
        <v>0</v>
      </c>
      <c r="AO10" s="93">
        <f t="shared" si="10"/>
        <v>23418904</v>
      </c>
      <c r="AP10" s="93">
        <f t="shared" si="11"/>
        <v>-23418904</v>
      </c>
      <c r="AQ10" s="93">
        <f t="shared" si="12"/>
        <v>0</v>
      </c>
    </row>
    <row r="11" spans="1:43" ht="25.5">
      <c r="A11" s="80" t="s">
        <v>1682</v>
      </c>
      <c r="B11" s="81">
        <f>Tables!C1058</f>
        <v>54797555</v>
      </c>
      <c r="C11" s="81">
        <f>Tables!C1059+Tables!C1060</f>
        <v>77300381</v>
      </c>
      <c r="D11" s="81">
        <f t="shared" si="0"/>
        <v>132097936</v>
      </c>
      <c r="E11" s="81">
        <f>Tables!C1061</f>
        <v>373779883</v>
      </c>
      <c r="F11" s="81">
        <f t="shared" si="1"/>
        <v>505877819</v>
      </c>
      <c r="G11" s="82">
        <f t="shared" si="2"/>
        <v>3.6069667897920238E-2</v>
      </c>
      <c r="H11" s="132">
        <f>F11-Votes!D12</f>
        <v>0</v>
      </c>
      <c r="I11" s="98">
        <v>248649157.49612901</v>
      </c>
      <c r="J11" s="100">
        <f t="shared" si="3"/>
        <v>257228661.50387099</v>
      </c>
      <c r="K11" s="98">
        <v>77413542.560000002</v>
      </c>
      <c r="L11" s="100">
        <f t="shared" si="4"/>
        <v>-22615987.560000002</v>
      </c>
      <c r="M11" s="99"/>
      <c r="N11" s="99"/>
      <c r="P11" s="93" t="s">
        <v>1682</v>
      </c>
      <c r="Q11" s="93"/>
      <c r="R11" s="106">
        <v>54437555.002255499</v>
      </c>
      <c r="S11" s="106">
        <v>78160381</v>
      </c>
      <c r="T11" s="106">
        <v>132597936.00225601</v>
      </c>
      <c r="U11" s="76">
        <v>413058044</v>
      </c>
      <c r="V11" s="76">
        <v>545655980.00225604</v>
      </c>
      <c r="W11" s="75">
        <v>3.8225209745787497E-2</v>
      </c>
      <c r="X11" s="108">
        <f t="shared" si="5"/>
        <v>39778161.002256036</v>
      </c>
      <c r="AB11" s="78">
        <v>716938406.30225599</v>
      </c>
      <c r="AC11" s="108">
        <f t="shared" si="6"/>
        <v>-211060587.30225599</v>
      </c>
      <c r="AD11" s="76">
        <v>714938406.30225599</v>
      </c>
      <c r="AE11" s="108">
        <f t="shared" si="7"/>
        <v>209060587.30225599</v>
      </c>
      <c r="AF11" s="108" t="b">
        <f t="shared" si="8"/>
        <v>1</v>
      </c>
      <c r="AG11" s="120" t="s">
        <v>1682</v>
      </c>
      <c r="AH11" s="121">
        <v>54797555</v>
      </c>
      <c r="AI11" s="122">
        <v>74300381</v>
      </c>
      <c r="AJ11" s="122">
        <v>376779883</v>
      </c>
      <c r="AK11" s="124">
        <v>505877819</v>
      </c>
      <c r="AN11" s="93">
        <f t="shared" si="9"/>
        <v>0</v>
      </c>
      <c r="AO11" s="93">
        <f t="shared" si="10"/>
        <v>3000000</v>
      </c>
      <c r="AP11" s="93">
        <f t="shared" si="11"/>
        <v>-3000000</v>
      </c>
      <c r="AQ11" s="93">
        <f t="shared" si="12"/>
        <v>0</v>
      </c>
    </row>
    <row r="12" spans="1:43" ht="25.5">
      <c r="A12" s="80" t="s">
        <v>1683</v>
      </c>
      <c r="B12" s="81">
        <f>Tables!C1258</f>
        <v>90018005</v>
      </c>
      <c r="C12" s="81">
        <f>Tables!C1259+Tables!C1260</f>
        <v>112230621.65999998</v>
      </c>
      <c r="D12" s="81">
        <f t="shared" si="0"/>
        <v>202248626.65999997</v>
      </c>
      <c r="E12" s="81">
        <f>Tables!C1261</f>
        <v>68196364</v>
      </c>
      <c r="F12" s="81">
        <f t="shared" si="1"/>
        <v>270444990.65999997</v>
      </c>
      <c r="G12" s="82">
        <f t="shared" si="2"/>
        <v>1.9283037586121838E-2</v>
      </c>
      <c r="H12" s="132">
        <f>F12-Votes!D13</f>
        <v>0</v>
      </c>
      <c r="I12" s="98">
        <v>193203936.31304699</v>
      </c>
      <c r="J12" s="100">
        <f t="shared" si="3"/>
        <v>77241054.346952975</v>
      </c>
      <c r="K12" s="98">
        <v>22123713</v>
      </c>
      <c r="L12" s="100">
        <f t="shared" si="4"/>
        <v>67894292</v>
      </c>
      <c r="M12" s="99"/>
      <c r="N12" s="99"/>
      <c r="P12" s="75" t="s">
        <v>1683</v>
      </c>
      <c r="R12" s="107">
        <v>90018005</v>
      </c>
      <c r="S12" s="107">
        <v>102493081</v>
      </c>
      <c r="T12" s="107">
        <v>192511086</v>
      </c>
      <c r="U12" s="76">
        <v>75933905</v>
      </c>
      <c r="V12" s="76">
        <v>268444991</v>
      </c>
      <c r="W12" s="75">
        <v>1.8805559660756602E-2</v>
      </c>
      <c r="X12" s="108">
        <f t="shared" si="5"/>
        <v>-1999999.6599999666</v>
      </c>
      <c r="AB12" s="78">
        <v>268444991</v>
      </c>
      <c r="AC12" s="108">
        <f t="shared" si="6"/>
        <v>1999999.6599999666</v>
      </c>
      <c r="AD12" s="76">
        <v>263444991</v>
      </c>
      <c r="AE12" s="108">
        <f t="shared" si="7"/>
        <v>-6999999.6599999666</v>
      </c>
      <c r="AF12" s="108" t="b">
        <f t="shared" si="8"/>
        <v>1</v>
      </c>
      <c r="AG12" s="120" t="s">
        <v>1683</v>
      </c>
      <c r="AH12" s="121">
        <v>90018005</v>
      </c>
      <c r="AI12" s="122">
        <v>112230622</v>
      </c>
      <c r="AJ12" s="122">
        <v>68196364</v>
      </c>
      <c r="AK12" s="124">
        <v>270444991</v>
      </c>
      <c r="AN12" s="93">
        <f t="shared" si="9"/>
        <v>0</v>
      </c>
      <c r="AO12" s="93">
        <f t="shared" si="10"/>
        <v>-0.34000001847743988</v>
      </c>
      <c r="AP12" s="93">
        <f t="shared" si="11"/>
        <v>0</v>
      </c>
      <c r="AQ12" s="93">
        <f t="shared" si="12"/>
        <v>-0.34000001847743988</v>
      </c>
    </row>
    <row r="13" spans="1:43" s="716" customFormat="1" ht="25.5">
      <c r="A13" s="710" t="s">
        <v>1684</v>
      </c>
      <c r="B13" s="711">
        <f>Tables!C1408</f>
        <v>246115956</v>
      </c>
      <c r="C13" s="711">
        <f>Tables!C1409+Tables!C1410</f>
        <v>149606199.49107826</v>
      </c>
      <c r="D13" s="711">
        <f t="shared" si="0"/>
        <v>395722155.49107826</v>
      </c>
      <c r="E13" s="711">
        <f>Tables!C1411</f>
        <v>451000000</v>
      </c>
      <c r="F13" s="711">
        <f t="shared" si="1"/>
        <v>846722155.49107826</v>
      </c>
      <c r="G13" s="712">
        <f t="shared" si="2"/>
        <v>6.0372259473140434E-2</v>
      </c>
      <c r="H13" s="132">
        <f>F13-Votes!D14</f>
        <v>0</v>
      </c>
      <c r="I13" s="713">
        <v>571122272.55025196</v>
      </c>
      <c r="J13" s="714">
        <f t="shared" si="3"/>
        <v>275599882.9408263</v>
      </c>
      <c r="K13" s="713">
        <v>323189953.20999998</v>
      </c>
      <c r="L13" s="714">
        <f t="shared" si="4"/>
        <v>-77073997.209999979</v>
      </c>
      <c r="M13" s="715"/>
      <c r="N13" s="715"/>
      <c r="P13" s="716" t="s">
        <v>1684</v>
      </c>
      <c r="R13" s="717">
        <v>246115956</v>
      </c>
      <c r="S13" s="717">
        <v>157981199.49107799</v>
      </c>
      <c r="T13" s="717">
        <v>404097155.49107802</v>
      </c>
      <c r="U13" s="718">
        <v>425625000</v>
      </c>
      <c r="V13" s="718">
        <v>829722155.49107802</v>
      </c>
      <c r="W13" s="716">
        <v>5.8125090875467501E-2</v>
      </c>
      <c r="X13" s="719">
        <f t="shared" si="5"/>
        <v>-17000000.000000238</v>
      </c>
      <c r="AB13" s="720">
        <v>905858292.49107802</v>
      </c>
      <c r="AC13" s="719">
        <f t="shared" si="6"/>
        <v>-59136136.999999762</v>
      </c>
      <c r="AD13" s="718">
        <v>827858292.49107802</v>
      </c>
      <c r="AE13" s="719">
        <f t="shared" si="7"/>
        <v>-18863863.000000238</v>
      </c>
      <c r="AF13" s="719" t="b">
        <f t="shared" si="8"/>
        <v>1</v>
      </c>
      <c r="AG13" s="721" t="s">
        <v>1698</v>
      </c>
      <c r="AH13" s="722">
        <v>246115956</v>
      </c>
      <c r="AI13" s="723">
        <v>149606199</v>
      </c>
      <c r="AJ13" s="723">
        <v>451000000</v>
      </c>
      <c r="AK13" s="724">
        <v>846722155</v>
      </c>
      <c r="AN13" s="725">
        <f t="shared" si="9"/>
        <v>0</v>
      </c>
      <c r="AO13" s="725">
        <f t="shared" si="10"/>
        <v>0.49107825756072998</v>
      </c>
      <c r="AP13" s="725">
        <f t="shared" si="11"/>
        <v>0</v>
      </c>
      <c r="AQ13" s="725">
        <f t="shared" si="12"/>
        <v>0.49107825756072998</v>
      </c>
    </row>
    <row r="14" spans="1:43">
      <c r="A14" s="80" t="s">
        <v>1685</v>
      </c>
      <c r="B14" s="81">
        <f>Tables!C1553</f>
        <v>328627256</v>
      </c>
      <c r="C14" s="81">
        <f>Tables!C1554+Tables!C1555</f>
        <v>100161048</v>
      </c>
      <c r="D14" s="81">
        <f t="shared" si="0"/>
        <v>428788304</v>
      </c>
      <c r="E14" s="81">
        <f>Tables!C1556</f>
        <v>329695186</v>
      </c>
      <c r="F14" s="81">
        <f t="shared" si="1"/>
        <v>758483490</v>
      </c>
      <c r="G14" s="82">
        <f t="shared" si="2"/>
        <v>5.4080741560158234E-2</v>
      </c>
      <c r="H14" s="132">
        <f>F14-Votes!D15</f>
        <v>0</v>
      </c>
      <c r="I14" s="98">
        <v>803447719.65233696</v>
      </c>
      <c r="J14" s="100">
        <f t="shared" si="3"/>
        <v>-44964229.652336955</v>
      </c>
      <c r="K14" s="98">
        <v>264931809.06</v>
      </c>
      <c r="L14" s="100">
        <f t="shared" si="4"/>
        <v>63695446.939999998</v>
      </c>
      <c r="M14" s="99"/>
      <c r="N14" s="99"/>
      <c r="P14" s="93" t="s">
        <v>1685</v>
      </c>
      <c r="Q14" s="93"/>
      <c r="R14" s="107">
        <v>322521156</v>
      </c>
      <c r="S14" s="107">
        <v>104280300</v>
      </c>
      <c r="T14" s="107">
        <v>426801456</v>
      </c>
      <c r="U14" s="76">
        <v>397972186</v>
      </c>
      <c r="V14" s="76">
        <v>824773642</v>
      </c>
      <c r="W14" s="75">
        <v>5.7778429291871297E-2</v>
      </c>
      <c r="X14" s="108">
        <f t="shared" si="5"/>
        <v>66290152</v>
      </c>
      <c r="AB14" s="78">
        <v>940116593</v>
      </c>
      <c r="AC14" s="108">
        <f t="shared" si="6"/>
        <v>-181633103</v>
      </c>
      <c r="AD14" s="76">
        <v>929816593</v>
      </c>
      <c r="AE14" s="108">
        <f t="shared" si="7"/>
        <v>171333103</v>
      </c>
      <c r="AF14" s="108" t="b">
        <f t="shared" si="8"/>
        <v>1</v>
      </c>
      <c r="AG14" s="120" t="s">
        <v>1685</v>
      </c>
      <c r="AH14" s="121">
        <v>328627256</v>
      </c>
      <c r="AI14" s="122">
        <v>100161048</v>
      </c>
      <c r="AJ14" s="122">
        <v>329695186</v>
      </c>
      <c r="AK14" s="124">
        <v>758483490</v>
      </c>
      <c r="AN14" s="93">
        <f t="shared" si="9"/>
        <v>0</v>
      </c>
      <c r="AO14" s="93">
        <f t="shared" si="10"/>
        <v>0</v>
      </c>
      <c r="AP14" s="93">
        <f t="shared" si="11"/>
        <v>0</v>
      </c>
      <c r="AQ14" s="93">
        <f t="shared" si="12"/>
        <v>0</v>
      </c>
    </row>
    <row r="15" spans="1:43">
      <c r="A15" s="80" t="s">
        <v>1686</v>
      </c>
      <c r="B15" s="81">
        <f>Tables!C1697</f>
        <v>66945284</v>
      </c>
      <c r="C15" s="81">
        <f>Tables!C1698+Tables!C1699</f>
        <v>56509993.659999996</v>
      </c>
      <c r="D15" s="81">
        <f t="shared" si="0"/>
        <v>123455277.66</v>
      </c>
      <c r="E15" s="81">
        <f>Tables!C1700</f>
        <v>131356414.06999999</v>
      </c>
      <c r="F15" s="81">
        <f t="shared" si="1"/>
        <v>254811691.72999999</v>
      </c>
      <c r="G15" s="82">
        <f t="shared" si="2"/>
        <v>1.8168365466935659E-2</v>
      </c>
      <c r="H15" s="132">
        <f>F15-Votes!D16</f>
        <v>0</v>
      </c>
      <c r="I15" s="98">
        <v>152988034.35808301</v>
      </c>
      <c r="J15" s="100">
        <f t="shared" si="3"/>
        <v>101823657.37191698</v>
      </c>
      <c r="K15" s="98">
        <v>42657551.359999999</v>
      </c>
      <c r="L15" s="100">
        <f t="shared" si="4"/>
        <v>24287732.640000001</v>
      </c>
      <c r="M15" s="99"/>
      <c r="N15" s="99"/>
      <c r="P15" s="93" t="s">
        <v>1686</v>
      </c>
      <c r="Q15" s="93"/>
      <c r="R15" s="77">
        <v>66945284</v>
      </c>
      <c r="S15" s="77">
        <v>49878786.5253563</v>
      </c>
      <c r="T15" s="77">
        <v>116824070.52535599</v>
      </c>
      <c r="U15" s="76">
        <v>180999999.92600101</v>
      </c>
      <c r="V15" s="76">
        <v>297824070.45135701</v>
      </c>
      <c r="W15" s="75">
        <v>2.0863672309245601E-2</v>
      </c>
      <c r="X15" s="108">
        <f t="shared" si="5"/>
        <v>43012378.721357018</v>
      </c>
      <c r="AB15" s="78">
        <v>616792049.65135598</v>
      </c>
      <c r="AC15" s="108">
        <f t="shared" si="6"/>
        <v>-361980357.92135596</v>
      </c>
      <c r="AD15" s="76">
        <v>604492049.65135598</v>
      </c>
      <c r="AE15" s="108">
        <f t="shared" si="7"/>
        <v>349680357.92135596</v>
      </c>
      <c r="AF15" s="108" t="b">
        <f t="shared" si="8"/>
        <v>1</v>
      </c>
      <c r="AG15" s="120" t="s">
        <v>1699</v>
      </c>
      <c r="AH15" s="121">
        <v>66945284</v>
      </c>
      <c r="AI15" s="122">
        <v>51504321</v>
      </c>
      <c r="AJ15" s="122">
        <v>136362087</v>
      </c>
      <c r="AK15" s="124">
        <v>254811692</v>
      </c>
      <c r="AN15" s="93">
        <f t="shared" si="9"/>
        <v>0</v>
      </c>
      <c r="AO15" s="93">
        <f t="shared" si="10"/>
        <v>5005672.6599999964</v>
      </c>
      <c r="AP15" s="93">
        <f t="shared" si="11"/>
        <v>-5005672.9300000072</v>
      </c>
      <c r="AQ15" s="109">
        <f t="shared" si="12"/>
        <v>-0.27000001072883606</v>
      </c>
    </row>
    <row r="16" spans="1:43">
      <c r="A16" s="80" t="s">
        <v>1649</v>
      </c>
      <c r="B16" s="81">
        <f>Tables!C1813</f>
        <v>35508829</v>
      </c>
      <c r="C16" s="81">
        <f>Tables!C1814+Tables!C1815</f>
        <v>50271525</v>
      </c>
      <c r="D16" s="81">
        <f t="shared" si="0"/>
        <v>85780354</v>
      </c>
      <c r="E16" s="81">
        <f>Tables!C1816</f>
        <v>128214416</v>
      </c>
      <c r="F16" s="81">
        <f t="shared" si="1"/>
        <v>213994770</v>
      </c>
      <c r="G16" s="82">
        <f t="shared" si="2"/>
        <v>1.5258072198243237E-2</v>
      </c>
      <c r="H16" s="132">
        <f>F16-Votes!D17</f>
        <v>0</v>
      </c>
      <c r="I16" s="98">
        <v>178448398.83841601</v>
      </c>
      <c r="J16" s="100">
        <f t="shared" si="3"/>
        <v>35546371.16158399</v>
      </c>
      <c r="K16" s="98">
        <v>28644300.800000001</v>
      </c>
      <c r="L16" s="100">
        <f t="shared" si="4"/>
        <v>6864528.1999999993</v>
      </c>
      <c r="M16" s="99"/>
      <c r="N16" s="99"/>
      <c r="P16" s="71" t="s">
        <v>1649</v>
      </c>
      <c r="Q16" s="71"/>
      <c r="R16" s="77">
        <v>35508829</v>
      </c>
      <c r="S16" s="111">
        <v>46559814</v>
      </c>
      <c r="T16" s="77">
        <v>82068643</v>
      </c>
      <c r="U16" s="76">
        <v>103461711</v>
      </c>
      <c r="V16" s="76">
        <v>185530354</v>
      </c>
      <c r="W16" s="71">
        <v>1.2997084162498999E-2</v>
      </c>
      <c r="X16" s="108">
        <f t="shared" si="5"/>
        <v>-28464416</v>
      </c>
      <c r="AB16" s="78">
        <v>0</v>
      </c>
      <c r="AC16" s="108">
        <f t="shared" si="6"/>
        <v>213994770</v>
      </c>
      <c r="AD16" s="76">
        <v>0</v>
      </c>
      <c r="AE16" s="108">
        <f t="shared" si="7"/>
        <v>-213994770</v>
      </c>
      <c r="AF16" s="108" t="b">
        <f t="shared" si="8"/>
        <v>1</v>
      </c>
      <c r="AG16" s="120" t="s">
        <v>1649</v>
      </c>
      <c r="AH16" s="121">
        <v>55508829</v>
      </c>
      <c r="AI16" s="122">
        <v>30271525</v>
      </c>
      <c r="AJ16" s="122">
        <v>128214416</v>
      </c>
      <c r="AK16" s="124">
        <v>213994770</v>
      </c>
      <c r="AN16" s="93">
        <f t="shared" si="9"/>
        <v>-20000000</v>
      </c>
      <c r="AO16" s="93">
        <f t="shared" si="10"/>
        <v>20000000</v>
      </c>
      <c r="AP16" s="93">
        <f t="shared" si="11"/>
        <v>0</v>
      </c>
      <c r="AQ16" s="93">
        <f t="shared" si="12"/>
        <v>0</v>
      </c>
    </row>
    <row r="17" spans="1:43">
      <c r="A17" s="80" t="s">
        <v>1651</v>
      </c>
      <c r="B17" s="81">
        <f>Tables!C1931</f>
        <v>36853847</v>
      </c>
      <c r="C17" s="81">
        <f>Tables!C1932+Tables!C1933</f>
        <v>36232890</v>
      </c>
      <c r="D17" s="81">
        <f t="shared" si="0"/>
        <v>73086737</v>
      </c>
      <c r="E17" s="81">
        <f>Tables!C1934</f>
        <v>51265280</v>
      </c>
      <c r="F17" s="81">
        <f t="shared" si="1"/>
        <v>124352017</v>
      </c>
      <c r="G17" s="82">
        <f t="shared" si="2"/>
        <v>8.8664412377142225E-3</v>
      </c>
      <c r="H17" s="132">
        <f>F17-Votes!D18</f>
        <v>0</v>
      </c>
      <c r="I17" s="98">
        <v>87362468.501111999</v>
      </c>
      <c r="J17" s="100">
        <f t="shared" si="3"/>
        <v>36989548.498888001</v>
      </c>
      <c r="K17" s="98">
        <v>25850142.760000002</v>
      </c>
      <c r="L17" s="100">
        <f t="shared" si="4"/>
        <v>11003704.239999998</v>
      </c>
      <c r="M17" s="99"/>
      <c r="N17" s="99"/>
      <c r="P17" s="101" t="s">
        <v>1651</v>
      </c>
      <c r="Q17" s="101"/>
      <c r="R17" s="77">
        <v>46853847</v>
      </c>
      <c r="S17" s="77">
        <v>20056869</v>
      </c>
      <c r="T17" s="77">
        <v>66910716</v>
      </c>
      <c r="U17" s="76">
        <v>28676021</v>
      </c>
      <c r="V17" s="76">
        <v>95586737</v>
      </c>
      <c r="W17" s="72">
        <v>6.6962027443102897E-3</v>
      </c>
      <c r="X17" s="108">
        <f t="shared" si="5"/>
        <v>-28765280</v>
      </c>
      <c r="AB17" s="78">
        <v>0</v>
      </c>
      <c r="AC17" s="108">
        <f t="shared" si="6"/>
        <v>124352017</v>
      </c>
      <c r="AD17" s="76">
        <v>0</v>
      </c>
      <c r="AE17" s="108">
        <f t="shared" si="7"/>
        <v>-124352017</v>
      </c>
      <c r="AF17" s="108" t="b">
        <f t="shared" si="8"/>
        <v>1</v>
      </c>
      <c r="AG17" s="120" t="s">
        <v>1651</v>
      </c>
      <c r="AH17" s="121">
        <v>49853847</v>
      </c>
      <c r="AI17" s="122">
        <v>19232890</v>
      </c>
      <c r="AJ17" s="122">
        <v>55265280</v>
      </c>
      <c r="AK17" s="124">
        <v>124352017</v>
      </c>
      <c r="AN17" s="93">
        <f t="shared" si="9"/>
        <v>-13000000</v>
      </c>
      <c r="AO17" s="93">
        <f t="shared" si="10"/>
        <v>17000000</v>
      </c>
      <c r="AP17" s="93">
        <f t="shared" si="11"/>
        <v>-4000000</v>
      </c>
      <c r="AQ17" s="93">
        <f t="shared" si="12"/>
        <v>0</v>
      </c>
    </row>
    <row r="18" spans="1:43">
      <c r="A18" s="80" t="s">
        <v>1652</v>
      </c>
      <c r="B18" s="81">
        <f>Tables!C2050</f>
        <v>43598222</v>
      </c>
      <c r="C18" s="81">
        <f>Tables!C2051+Tables!C2052</f>
        <v>39701506</v>
      </c>
      <c r="D18" s="81">
        <f t="shared" si="0"/>
        <v>83299728</v>
      </c>
      <c r="E18" s="81">
        <f>Tables!C2053</f>
        <v>13750000</v>
      </c>
      <c r="F18" s="81">
        <f t="shared" si="1"/>
        <v>97049728</v>
      </c>
      <c r="G18" s="82">
        <f t="shared" si="2"/>
        <v>6.9197567615501459E-3</v>
      </c>
      <c r="H18" s="132">
        <f>F18-Votes!D19</f>
        <v>0</v>
      </c>
      <c r="I18" s="98">
        <v>81252042.899776205</v>
      </c>
      <c r="J18" s="100">
        <f t="shared" si="3"/>
        <v>15797685.100223795</v>
      </c>
      <c r="K18" s="98">
        <v>31847495.829999998</v>
      </c>
      <c r="L18" s="100">
        <f t="shared" si="4"/>
        <v>11750726.170000002</v>
      </c>
      <c r="M18" s="99"/>
      <c r="N18" s="99"/>
      <c r="P18" s="93" t="s">
        <v>1652</v>
      </c>
      <c r="Q18" s="93"/>
      <c r="R18" s="77">
        <v>35769422</v>
      </c>
      <c r="S18" s="77">
        <v>39701506</v>
      </c>
      <c r="T18" s="77">
        <v>75470928</v>
      </c>
      <c r="U18" s="76">
        <v>0</v>
      </c>
      <c r="V18" s="76">
        <v>75470928</v>
      </c>
      <c r="W18" s="75">
        <v>5.2870162854208999E-3</v>
      </c>
      <c r="X18" s="108">
        <f t="shared" si="5"/>
        <v>-21578800</v>
      </c>
      <c r="AB18" s="78">
        <v>85470928</v>
      </c>
      <c r="AC18" s="108">
        <f t="shared" si="6"/>
        <v>11578800</v>
      </c>
      <c r="AD18" s="76">
        <v>85470928</v>
      </c>
      <c r="AE18" s="108">
        <f t="shared" si="7"/>
        <v>-11578800</v>
      </c>
      <c r="AF18" s="108" t="b">
        <f t="shared" si="8"/>
        <v>1</v>
      </c>
      <c r="AG18" s="80" t="s">
        <v>1652</v>
      </c>
      <c r="AH18" s="121">
        <v>43598222</v>
      </c>
      <c r="AI18" s="122">
        <v>39701506</v>
      </c>
      <c r="AJ18" s="122">
        <v>13750000</v>
      </c>
      <c r="AK18" s="124">
        <v>97049728</v>
      </c>
      <c r="AN18" s="93">
        <f t="shared" si="9"/>
        <v>0</v>
      </c>
      <c r="AO18" s="93">
        <f t="shared" si="10"/>
        <v>0</v>
      </c>
      <c r="AP18" s="93">
        <f t="shared" si="11"/>
        <v>0</v>
      </c>
      <c r="AQ18" s="109">
        <f t="shared" si="12"/>
        <v>0</v>
      </c>
    </row>
    <row r="19" spans="1:43">
      <c r="A19" s="80" t="s">
        <v>1656</v>
      </c>
      <c r="B19" s="81">
        <f>Tables!C2126</f>
        <v>488264486.04400003</v>
      </c>
      <c r="C19" s="81">
        <f>Tables!C2127+Tables!C2128</f>
        <v>519435460.02999997</v>
      </c>
      <c r="D19" s="81">
        <f t="shared" si="0"/>
        <v>1007699946.074</v>
      </c>
      <c r="E19" s="81">
        <f>Tables!C2129</f>
        <v>100000000</v>
      </c>
      <c r="F19" s="81">
        <f t="shared" si="1"/>
        <v>1107699946.0739999</v>
      </c>
      <c r="G19" s="82">
        <f t="shared" si="2"/>
        <v>7.8980274850582705E-2</v>
      </c>
      <c r="H19" s="132">
        <f>F19-Votes!D20</f>
        <v>0</v>
      </c>
      <c r="I19" s="98">
        <v>909689957</v>
      </c>
      <c r="J19" s="100">
        <f t="shared" si="3"/>
        <v>198009989.07399988</v>
      </c>
      <c r="K19" s="98">
        <v>478403137</v>
      </c>
      <c r="L19" s="100">
        <f t="shared" si="4"/>
        <v>9861349.0440000296</v>
      </c>
      <c r="M19" s="99"/>
      <c r="N19" s="99"/>
      <c r="P19" s="75" t="s">
        <v>1656</v>
      </c>
      <c r="R19" s="77">
        <v>488264486.04400003</v>
      </c>
      <c r="S19" s="77">
        <v>457813069.02999997</v>
      </c>
      <c r="T19" s="77">
        <v>946077555.074</v>
      </c>
      <c r="U19" s="76">
        <v>100000000</v>
      </c>
      <c r="V19" s="76">
        <v>1046077555.074</v>
      </c>
      <c r="W19" s="75">
        <v>7.3281582936008394E-2</v>
      </c>
      <c r="X19" s="108">
        <f t="shared" si="5"/>
        <v>-61622390.999999881</v>
      </c>
      <c r="AB19" s="78">
        <v>1247185904.0739999</v>
      </c>
      <c r="AC19" s="108">
        <f t="shared" si="6"/>
        <v>-139485958</v>
      </c>
      <c r="AD19" s="76">
        <v>1247185904.0739999</v>
      </c>
      <c r="AE19" s="108">
        <f t="shared" si="7"/>
        <v>139485958</v>
      </c>
      <c r="AF19" s="108" t="b">
        <f>AG19=A19</f>
        <v>1</v>
      </c>
      <c r="AG19" s="80" t="s">
        <v>1656</v>
      </c>
      <c r="AH19" s="121">
        <v>488264486</v>
      </c>
      <c r="AI19" s="122">
        <v>519435460</v>
      </c>
      <c r="AJ19" s="122">
        <v>100000000</v>
      </c>
      <c r="AK19" s="124">
        <v>1107699946</v>
      </c>
      <c r="AN19" s="93">
        <f t="shared" si="9"/>
        <v>4.4000029563903809E-2</v>
      </c>
      <c r="AO19" s="93">
        <f t="shared" si="10"/>
        <v>2.9999971389770508E-2</v>
      </c>
      <c r="AP19" s="93">
        <f t="shared" si="11"/>
        <v>0</v>
      </c>
      <c r="AQ19" s="93">
        <f t="shared" si="12"/>
        <v>7.4000000953674316E-2</v>
      </c>
    </row>
    <row r="20" spans="1:43" s="71" customFormat="1">
      <c r="A20" s="84" t="s">
        <v>1687</v>
      </c>
      <c r="B20" s="85">
        <f t="shared" ref="B20:F20" si="13">SUM(B4:B19)</f>
        <v>6238045911.0449991</v>
      </c>
      <c r="C20" s="85">
        <f t="shared" si="13"/>
        <v>3276998318.3597584</v>
      </c>
      <c r="D20" s="85">
        <f t="shared" si="13"/>
        <v>9515044229.4047585</v>
      </c>
      <c r="E20" s="85">
        <f t="shared" si="13"/>
        <v>4509975918.5952396</v>
      </c>
      <c r="F20" s="85">
        <f t="shared" si="13"/>
        <v>14025020147.999996</v>
      </c>
      <c r="G20" s="86">
        <f t="shared" si="2"/>
        <v>1</v>
      </c>
      <c r="H20" s="132"/>
      <c r="I20" s="102">
        <f t="shared" ref="I20:L20" si="14">SUM(I4:I15)</f>
        <v>10389526252.403337</v>
      </c>
      <c r="J20" s="102">
        <f t="shared" si="14"/>
        <v>2092397434.5226624</v>
      </c>
      <c r="K20" s="103">
        <f t="shared" si="14"/>
        <v>4714701382.8899994</v>
      </c>
      <c r="L20" s="103">
        <f t="shared" si="14"/>
        <v>919119144.11100018</v>
      </c>
      <c r="M20" s="104"/>
      <c r="N20" s="104"/>
      <c r="P20" s="71" t="s">
        <v>1687</v>
      </c>
      <c r="R20" s="101">
        <v>6109667011.0472498</v>
      </c>
      <c r="S20" s="101">
        <v>3413299689.20293</v>
      </c>
      <c r="T20" s="101">
        <v>9522966700.2501907</v>
      </c>
      <c r="U20" s="112">
        <v>4751800753.7698097</v>
      </c>
      <c r="V20" s="112">
        <v>14274767454.02</v>
      </c>
      <c r="W20" s="71">
        <v>1</v>
      </c>
      <c r="X20" s="113">
        <f t="shared" si="5"/>
        <v>249747306.02000427</v>
      </c>
      <c r="AB20" s="116">
        <v>14841745626.52</v>
      </c>
      <c r="AC20" s="113">
        <f t="shared" si="6"/>
        <v>-816725478.52000427</v>
      </c>
      <c r="AD20" s="112">
        <v>14805495626.52</v>
      </c>
      <c r="AE20" s="113">
        <f t="shared" si="7"/>
        <v>780475478.52000427</v>
      </c>
      <c r="AF20" s="113"/>
      <c r="AG20" s="726" t="s">
        <v>1606</v>
      </c>
      <c r="AH20" s="727">
        <v>6271585911</v>
      </c>
      <c r="AI20" s="728">
        <v>3186063165</v>
      </c>
      <c r="AJ20" s="728">
        <v>4339371072</v>
      </c>
      <c r="AK20" s="729">
        <v>13797020148</v>
      </c>
      <c r="AN20" s="730">
        <f t="shared" si="9"/>
        <v>-33539999.955000877</v>
      </c>
      <c r="AO20" s="730">
        <f t="shared" si="10"/>
        <v>90935153.359758377</v>
      </c>
      <c r="AP20" s="730">
        <f t="shared" si="11"/>
        <v>170604846.59523964</v>
      </c>
      <c r="AQ20" s="730">
        <f t="shared" si="12"/>
        <v>227999999.99999714</v>
      </c>
    </row>
    <row r="21" spans="1:43" s="72" customFormat="1">
      <c r="A21" s="87" t="s">
        <v>1688</v>
      </c>
      <c r="B21" s="88">
        <f t="shared" ref="B21:F21" si="15">B20/$F$20</f>
        <v>0.44477981815481105</v>
      </c>
      <c r="C21" s="88">
        <f t="shared" si="15"/>
        <v>0.23365373338355358</v>
      </c>
      <c r="D21" s="88">
        <f t="shared" si="15"/>
        <v>0.67843355153836471</v>
      </c>
      <c r="E21" s="88">
        <f t="shared" si="15"/>
        <v>0.32156644846163546</v>
      </c>
      <c r="F21" s="88">
        <f t="shared" si="15"/>
        <v>1</v>
      </c>
      <c r="H21" s="132"/>
      <c r="P21" s="71" t="s">
        <v>1688</v>
      </c>
      <c r="Q21" s="71"/>
      <c r="R21" s="101">
        <v>0.42800466142281501</v>
      </c>
      <c r="S21" s="101">
        <v>0.239114206252214</v>
      </c>
      <c r="T21" s="101">
        <v>0.66711886767503004</v>
      </c>
      <c r="U21" s="112">
        <v>0.33288113232497002</v>
      </c>
      <c r="V21" s="112">
        <v>1</v>
      </c>
      <c r="W21" s="71"/>
      <c r="X21" s="113">
        <f t="shared" si="5"/>
        <v>0</v>
      </c>
      <c r="AB21" s="116">
        <v>1</v>
      </c>
      <c r="AC21" s="113">
        <f t="shared" si="6"/>
        <v>0</v>
      </c>
      <c r="AD21" s="112">
        <v>1</v>
      </c>
      <c r="AE21" s="113">
        <f t="shared" si="7"/>
        <v>0</v>
      </c>
      <c r="AF21" s="113"/>
      <c r="AG21" s="731" t="s">
        <v>1700</v>
      </c>
      <c r="AH21" s="732">
        <v>0.4546</v>
      </c>
      <c r="AI21" s="733">
        <v>0.23089999999999999</v>
      </c>
      <c r="AJ21" s="733">
        <v>0.3145</v>
      </c>
      <c r="AK21" s="734">
        <v>1</v>
      </c>
      <c r="AL21" s="71"/>
      <c r="AN21" s="730">
        <f t="shared" si="9"/>
        <v>-9.8201818451889578E-3</v>
      </c>
      <c r="AO21" s="730">
        <f t="shared" si="10"/>
        <v>2.753733383553586E-3</v>
      </c>
      <c r="AP21" s="730">
        <f t="shared" si="11"/>
        <v>7.066448461635455E-3</v>
      </c>
      <c r="AQ21" s="730">
        <f t="shared" si="12"/>
        <v>8.3266726846886741E-17</v>
      </c>
    </row>
    <row r="22" spans="1:43">
      <c r="AA22" s="75">
        <v>259265625</v>
      </c>
      <c r="AF22" s="108"/>
      <c r="AG22" s="72"/>
      <c r="AH22" s="72"/>
      <c r="AI22" s="72"/>
      <c r="AJ22" s="72"/>
      <c r="AK22" s="72"/>
      <c r="AL22" s="72"/>
    </row>
    <row r="23" spans="1:43">
      <c r="A23" s="89"/>
      <c r="B23" s="90"/>
      <c r="C23" s="90"/>
      <c r="D23" s="90"/>
      <c r="E23" s="90"/>
      <c r="F23" s="90"/>
      <c r="G23" s="91"/>
      <c r="I23" s="105"/>
      <c r="AA23" s="93">
        <f>E9-AA22</f>
        <v>88448916</v>
      </c>
      <c r="AF23" s="108"/>
    </row>
    <row r="24" spans="1:43">
      <c r="B24" s="74">
        <v>6099055436</v>
      </c>
      <c r="C24" s="74">
        <f>2893325988</f>
        <v>2893325988</v>
      </c>
      <c r="D24" s="74">
        <v>477652911</v>
      </c>
      <c r="E24" s="74">
        <v>5226455454</v>
      </c>
    </row>
    <row r="25" spans="1:43">
      <c r="B25" s="74">
        <f>B24-B20</f>
        <v>-138990475.04499912</v>
      </c>
      <c r="C25" s="74">
        <f>C24-B9</f>
        <v>-96920000</v>
      </c>
      <c r="E25" s="74">
        <f>E20-E24</f>
        <v>-716479535.40476036</v>
      </c>
    </row>
    <row r="26" spans="1:43">
      <c r="B26" s="74">
        <v>35508829</v>
      </c>
      <c r="C26" s="74">
        <f>D24-B19</f>
        <v>-10611575.04400003</v>
      </c>
      <c r="E26" s="74">
        <f>E25-AA23</f>
        <v>-804928451.40476036</v>
      </c>
      <c r="F26" s="74" t="b">
        <f>F20=[1]Sheet1!G559</f>
        <v>0</v>
      </c>
      <c r="AB26" s="78" t="b">
        <v>0</v>
      </c>
    </row>
    <row r="27" spans="1:43">
      <c r="A27" s="75"/>
      <c r="B27" s="92">
        <v>46853847</v>
      </c>
      <c r="C27" s="75"/>
      <c r="D27" s="75"/>
      <c r="E27" s="75"/>
      <c r="F27" s="93"/>
    </row>
    <row r="28" spans="1:43">
      <c r="A28" s="75"/>
      <c r="B28" s="75"/>
      <c r="C28" s="93">
        <f>C25+C26+B26+B27-B25</f>
        <v>113821576.00099909</v>
      </c>
      <c r="D28" s="75"/>
      <c r="E28" s="75"/>
      <c r="F28" s="75"/>
    </row>
    <row r="29" spans="1:43">
      <c r="B29" s="77"/>
    </row>
    <row r="30" spans="1:43">
      <c r="B30" s="77"/>
    </row>
    <row r="31" spans="1:43">
      <c r="A31" s="94"/>
      <c r="B31" s="95"/>
      <c r="C31" s="96"/>
      <c r="D31" s="96"/>
    </row>
    <row r="32" spans="1:43">
      <c r="B32" s="77"/>
    </row>
    <row r="33" spans="1:4">
      <c r="B33" s="77"/>
    </row>
    <row r="34" spans="1:4">
      <c r="B34" s="77"/>
    </row>
    <row r="35" spans="1:4">
      <c r="A35" s="94"/>
      <c r="B35" s="95"/>
      <c r="C35" s="96"/>
      <c r="D35" s="97"/>
    </row>
    <row r="36" spans="1:4">
      <c r="B36" s="77"/>
    </row>
    <row r="37" spans="1:4">
      <c r="B37" s="77"/>
    </row>
    <row r="38" spans="1:4">
      <c r="A38" s="94"/>
      <c r="B38" s="95"/>
      <c r="C38" s="96"/>
      <c r="D38" s="97"/>
    </row>
    <row r="39" spans="1:4">
      <c r="B39" s="77"/>
      <c r="D39" s="97"/>
    </row>
    <row r="40" spans="1:4">
      <c r="B40" s="77"/>
      <c r="D40" s="97"/>
    </row>
    <row r="41" spans="1:4">
      <c r="B41" s="77"/>
    </row>
    <row r="42" spans="1:4">
      <c r="B42" s="77"/>
    </row>
    <row r="43" spans="1:4">
      <c r="A43" s="94"/>
      <c r="B43" s="95"/>
      <c r="C43" s="96"/>
      <c r="D43" s="97"/>
    </row>
    <row r="44" spans="1:4">
      <c r="B44" s="77"/>
    </row>
    <row r="45" spans="1:4">
      <c r="B45" s="77"/>
    </row>
    <row r="46" spans="1:4">
      <c r="A46" s="75"/>
    </row>
    <row r="47" spans="1:4">
      <c r="A47" s="75"/>
    </row>
    <row r="50" spans="1:1">
      <c r="A50" s="94"/>
    </row>
    <row r="54" spans="1:1">
      <c r="A54" s="94"/>
    </row>
    <row r="57" spans="1:1">
      <c r="A57" s="94"/>
    </row>
    <row r="62" spans="1:1">
      <c r="A62" s="94"/>
    </row>
    <row r="717" spans="1:30" s="849" customFormat="1">
      <c r="A717" s="856"/>
      <c r="B717" s="857"/>
      <c r="C717" s="857"/>
      <c r="D717" s="857"/>
      <c r="E717" s="857"/>
      <c r="F717" s="857"/>
      <c r="H717" s="855"/>
      <c r="I717" s="115"/>
      <c r="R717" s="858"/>
      <c r="S717" s="858"/>
      <c r="T717" s="858"/>
      <c r="U717" s="115"/>
      <c r="V717" s="115"/>
      <c r="AB717" s="859"/>
      <c r="AD717" s="115"/>
    </row>
    <row r="769" spans="1:30">
      <c r="AB769" s="114"/>
    </row>
    <row r="770" spans="1:30" s="849" customFormat="1">
      <c r="A770" s="856"/>
      <c r="B770" s="857"/>
      <c r="C770" s="857"/>
      <c r="D770" s="857"/>
      <c r="E770" s="857">
        <v>7940000</v>
      </c>
      <c r="F770" s="857"/>
      <c r="H770" s="855"/>
      <c r="I770" s="115"/>
      <c r="R770" s="858"/>
      <c r="S770" s="858"/>
      <c r="T770" s="858"/>
      <c r="U770" s="115"/>
      <c r="V770" s="115"/>
      <c r="AB770" s="859"/>
      <c r="AD770" s="115"/>
    </row>
    <row r="776" spans="1:30">
      <c r="E776" s="74">
        <f>E774+E771+E766+E763+E761+E759+E755+E752+E749+E744+E737+E735+E730+E725+E721+E718+E716+E769</f>
        <v>0</v>
      </c>
    </row>
    <row r="780" spans="1:30">
      <c r="E780" s="74">
        <v>9445850</v>
      </c>
      <c r="H780" s="132">
        <v>12885850</v>
      </c>
    </row>
    <row r="781" spans="1:30">
      <c r="E781" s="74">
        <v>26333576</v>
      </c>
      <c r="H781" s="132">
        <v>30833576</v>
      </c>
    </row>
  </sheetData>
  <mergeCells count="7">
    <mergeCell ref="A1:G1"/>
    <mergeCell ref="B2:C2"/>
    <mergeCell ref="A2:A3"/>
    <mergeCell ref="D2:D3"/>
    <mergeCell ref="E2:E3"/>
    <mergeCell ref="F2:F3"/>
    <mergeCell ref="G2:G3"/>
  </mergeCells>
  <conditionalFormatting sqref="E21">
    <cfRule type="cellIs" dxfId="0" priority="1" operator="greaterThan">
      <formula>0.3</formula>
    </cfRule>
  </conditionalFormatting>
  <pageMargins left="0.7" right="0.7" top="0.75" bottom="0.75" header="0.3" footer="0.3"/>
  <pageSetup paperSize="9"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24"/>
  <sheetViews>
    <sheetView topLeftCell="A4" workbookViewId="0">
      <selection activeCell="B23" sqref="B23"/>
    </sheetView>
  </sheetViews>
  <sheetFormatPr defaultColWidth="10" defaultRowHeight="14.25"/>
  <cols>
    <col min="1" max="1" width="62.46484375" style="58" customWidth="1"/>
    <col min="2" max="2" width="15.53125" style="59" customWidth="1"/>
    <col min="3" max="3" width="15.46484375" style="59" customWidth="1"/>
    <col min="4" max="4" width="16.53125" style="59" customWidth="1"/>
    <col min="5" max="5" width="12.46484375" style="59" customWidth="1"/>
    <col min="6" max="16384" width="10" style="59"/>
  </cols>
  <sheetData>
    <row r="1" spans="1:5" ht="15">
      <c r="A1" s="60" t="s">
        <v>1701</v>
      </c>
    </row>
    <row r="2" spans="1:5" ht="17.25">
      <c r="A2" s="836" t="s">
        <v>1702</v>
      </c>
      <c r="B2" s="836"/>
      <c r="C2" s="836"/>
      <c r="D2" s="836"/>
    </row>
    <row r="3" spans="1:5" ht="40.5">
      <c r="A3" s="838" t="s">
        <v>1600</v>
      </c>
      <c r="B3" s="61" t="s">
        <v>1703</v>
      </c>
      <c r="C3" s="61" t="s">
        <v>1704</v>
      </c>
      <c r="D3" s="61" t="s">
        <v>1705</v>
      </c>
    </row>
    <row r="4" spans="1:5">
      <c r="A4" s="838"/>
      <c r="B4" s="837" t="s">
        <v>1706</v>
      </c>
      <c r="C4" s="837"/>
      <c r="D4" s="837"/>
    </row>
    <row r="5" spans="1:5">
      <c r="A5" s="62" t="s">
        <v>1674</v>
      </c>
      <c r="B5" s="63">
        <f>Programmes!C6</f>
        <v>1427495823.9082527</v>
      </c>
      <c r="C5" s="63">
        <f>Programmes!D6</f>
        <v>935279423.52523994</v>
      </c>
      <c r="D5" s="63">
        <f>B5+C5</f>
        <v>2362775247.4334927</v>
      </c>
      <c r="E5" s="64"/>
    </row>
    <row r="6" spans="1:5">
      <c r="A6" s="65" t="s">
        <v>1675</v>
      </c>
      <c r="B6" s="63">
        <f>Programmes!C24</f>
        <v>154206587.00099999</v>
      </c>
      <c r="C6" s="63">
        <f>Programmes!D24</f>
        <v>43502808</v>
      </c>
      <c r="D6" s="63">
        <f>B6+C6</f>
        <v>197709395.00099999</v>
      </c>
      <c r="E6" s="64"/>
    </row>
    <row r="7" spans="1:5">
      <c r="A7" s="65" t="s">
        <v>1677</v>
      </c>
      <c r="B7" s="63">
        <f>Programmes!C31</f>
        <v>171683830</v>
      </c>
      <c r="C7" s="63">
        <f>Programmes!D31</f>
        <v>770866186</v>
      </c>
      <c r="D7" s="63">
        <f t="shared" ref="D7:D20" si="0">B7+C7</f>
        <v>942550016</v>
      </c>
      <c r="E7" s="64"/>
    </row>
    <row r="8" spans="1:5">
      <c r="A8" s="65" t="s">
        <v>1678</v>
      </c>
      <c r="B8" s="63">
        <f>Programmes!C37</f>
        <v>959439768.20725596</v>
      </c>
      <c r="C8" s="63">
        <f>Programmes!D37</f>
        <v>131101207</v>
      </c>
      <c r="D8" s="63">
        <f t="shared" si="0"/>
        <v>1090540975.2072558</v>
      </c>
      <c r="E8" s="64"/>
    </row>
    <row r="9" spans="1:5">
      <c r="A9" s="65" t="s">
        <v>1679</v>
      </c>
      <c r="B9" s="63">
        <f>Programmes!C42</f>
        <v>210981398</v>
      </c>
      <c r="C9" s="63">
        <f>Programmes!D42</f>
        <v>441900000</v>
      </c>
      <c r="D9" s="63">
        <f t="shared" si="0"/>
        <v>652881398</v>
      </c>
      <c r="E9" s="64"/>
    </row>
    <row r="10" spans="1:5">
      <c r="A10" s="65" t="s">
        <v>1680</v>
      </c>
      <c r="B10" s="63">
        <f>Programmes!C47</f>
        <v>3815291856.4031715</v>
      </c>
      <c r="C10" s="63">
        <f>Programmes!D47</f>
        <v>347714541</v>
      </c>
      <c r="D10" s="63">
        <f t="shared" si="0"/>
        <v>4163006397.4031715</v>
      </c>
      <c r="E10" s="64"/>
    </row>
    <row r="11" spans="1:5">
      <c r="A11" s="65" t="s">
        <v>1681</v>
      </c>
      <c r="B11" s="63">
        <f>Programmes!C62</f>
        <v>243765901</v>
      </c>
      <c r="C11" s="63">
        <f>Programmes!D62</f>
        <v>192354210</v>
      </c>
      <c r="D11" s="63">
        <f t="shared" si="0"/>
        <v>436120111</v>
      </c>
      <c r="E11" s="64"/>
    </row>
    <row r="12" spans="1:5">
      <c r="A12" s="65" t="s">
        <v>1682</v>
      </c>
      <c r="B12" s="63">
        <f>Programmes!C68</f>
        <v>132097936</v>
      </c>
      <c r="C12" s="63">
        <f>Programmes!D68</f>
        <v>373779883</v>
      </c>
      <c r="D12" s="63">
        <f t="shared" si="0"/>
        <v>505877819</v>
      </c>
      <c r="E12" s="64"/>
    </row>
    <row r="13" spans="1:5">
      <c r="A13" s="65" t="s">
        <v>1683</v>
      </c>
      <c r="B13" s="63">
        <f>Programmes!C81</f>
        <v>202248626.65999997</v>
      </c>
      <c r="C13" s="63">
        <f>Programmes!D81</f>
        <v>68196364</v>
      </c>
      <c r="D13" s="63">
        <f t="shared" si="0"/>
        <v>270444990.65999997</v>
      </c>
      <c r="E13" s="64"/>
    </row>
    <row r="14" spans="1:5">
      <c r="A14" s="65" t="s">
        <v>1684</v>
      </c>
      <c r="B14" s="63">
        <f>Programmes!C91</f>
        <v>395722155.49107826</v>
      </c>
      <c r="C14" s="63">
        <f>Programmes!D91</f>
        <v>451000000</v>
      </c>
      <c r="D14" s="63">
        <f t="shared" si="0"/>
        <v>846722155.49107826</v>
      </c>
      <c r="E14" s="64"/>
    </row>
    <row r="15" spans="1:5">
      <c r="A15" s="65" t="s">
        <v>1685</v>
      </c>
      <c r="B15" s="63">
        <f>Programmes!C100</f>
        <v>428788304</v>
      </c>
      <c r="C15" s="63">
        <f>Programmes!D100</f>
        <v>329695186</v>
      </c>
      <c r="D15" s="63">
        <f t="shared" si="0"/>
        <v>758483490</v>
      </c>
      <c r="E15" s="64"/>
    </row>
    <row r="16" spans="1:5">
      <c r="A16" s="65" t="s">
        <v>1686</v>
      </c>
      <c r="B16" s="63">
        <f>Programmes!C109</f>
        <v>123455277.66</v>
      </c>
      <c r="C16" s="63">
        <f>Programmes!D109</f>
        <v>131356414.06999999</v>
      </c>
      <c r="D16" s="63">
        <f t="shared" si="0"/>
        <v>254811691.72999999</v>
      </c>
      <c r="E16" s="64"/>
    </row>
    <row r="17" spans="1:5">
      <c r="A17" s="65" t="s">
        <v>1649</v>
      </c>
      <c r="B17" s="63">
        <f>Programmes!C116</f>
        <v>85780354</v>
      </c>
      <c r="C17" s="63">
        <f>Programmes!D116</f>
        <v>128214416</v>
      </c>
      <c r="D17" s="63">
        <f t="shared" si="0"/>
        <v>213994770</v>
      </c>
      <c r="E17" s="64"/>
    </row>
    <row r="18" spans="1:5">
      <c r="A18" s="65" t="s">
        <v>1651</v>
      </c>
      <c r="B18" s="63">
        <f>Programmes!C122</f>
        <v>73086737</v>
      </c>
      <c r="C18" s="63">
        <f>Programmes!D122</f>
        <v>51265280</v>
      </c>
      <c r="D18" s="63">
        <f t="shared" si="0"/>
        <v>124352017</v>
      </c>
      <c r="E18" s="64"/>
    </row>
    <row r="19" spans="1:5">
      <c r="A19" s="65" t="s">
        <v>1652</v>
      </c>
      <c r="B19" s="63">
        <f>Programmes!C130</f>
        <v>83299728</v>
      </c>
      <c r="C19" s="63">
        <f>Programmes!D130</f>
        <v>13750000</v>
      </c>
      <c r="D19" s="63">
        <f t="shared" si="0"/>
        <v>97049728</v>
      </c>
      <c r="E19" s="64"/>
    </row>
    <row r="20" spans="1:5">
      <c r="A20" s="65" t="s">
        <v>1656</v>
      </c>
      <c r="B20" s="63">
        <f>Programmes!C135</f>
        <v>1007699946.074</v>
      </c>
      <c r="C20" s="63">
        <f>Programmes!D135</f>
        <v>100000000</v>
      </c>
      <c r="D20" s="63">
        <f t="shared" si="0"/>
        <v>1107699946.0739999</v>
      </c>
      <c r="E20" s="64"/>
    </row>
    <row r="21" spans="1:5">
      <c r="A21" s="66" t="s">
        <v>1659</v>
      </c>
      <c r="B21" s="67">
        <f>SUM(B5:B20)</f>
        <v>9515044229.4047585</v>
      </c>
      <c r="C21" s="67">
        <f>SUM(C5:C20)</f>
        <v>4509975918.5952396</v>
      </c>
      <c r="D21" s="67">
        <f>SUM(D5:D20)</f>
        <v>14025020147.999996</v>
      </c>
      <c r="E21" s="64"/>
    </row>
    <row r="22" spans="1:5">
      <c r="A22" s="65"/>
      <c r="B22" s="68">
        <f>B21/D21</f>
        <v>0.67843355153836471</v>
      </c>
      <c r="C22" s="69">
        <f>C21/D21</f>
        <v>0.32156644846163546</v>
      </c>
      <c r="D22" s="68">
        <f>B22+C22</f>
        <v>1.0000000000000002</v>
      </c>
    </row>
    <row r="24" spans="1:5">
      <c r="D24" s="70"/>
    </row>
  </sheetData>
  <mergeCells count="3">
    <mergeCell ref="A2:D2"/>
    <mergeCell ref="B4:D4"/>
    <mergeCell ref="A3:A4"/>
  </mergeCells>
  <pageMargins left="0.7" right="0.7" top="0.75" bottom="0.75" header="0.3" footer="0.3"/>
  <pageSetup paperSize="9" scale="7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73"/>
  <sheetViews>
    <sheetView topLeftCell="A7" zoomScale="98" zoomScaleNormal="98" workbookViewId="0">
      <selection activeCell="H41" sqref="H41"/>
    </sheetView>
  </sheetViews>
  <sheetFormatPr defaultColWidth="8.9296875" defaultRowHeight="12.75"/>
  <cols>
    <col min="1" max="1" width="8.9296875" style="3"/>
    <col min="2" max="2" width="48.59765625" style="4" customWidth="1"/>
    <col min="3" max="4" width="17.46484375" style="3" hidden="1" customWidth="1"/>
    <col min="5" max="5" width="17.19921875" style="3" hidden="1" customWidth="1"/>
    <col min="6" max="7" width="16.796875" style="3" hidden="1" customWidth="1"/>
    <col min="8" max="8" width="19.06640625" style="3" customWidth="1"/>
    <col min="9" max="9" width="23.06640625" style="5" customWidth="1"/>
    <col min="10" max="11" width="18.06640625" style="3" customWidth="1"/>
    <col min="12" max="12" width="3.33203125" style="6" customWidth="1"/>
    <col min="13" max="13" width="3.33203125" style="3" customWidth="1"/>
    <col min="14" max="14" width="2.46484375" style="3" customWidth="1"/>
    <col min="15" max="15" width="18.06640625" style="3" hidden="1" customWidth="1"/>
    <col min="16" max="16" width="2.73046875" style="3" hidden="1" customWidth="1"/>
    <col min="17" max="17" width="18.06640625" style="7" hidden="1" customWidth="1"/>
    <col min="18" max="18" width="2.796875" style="3" hidden="1" customWidth="1"/>
    <col min="19" max="19" width="13.59765625" style="3" hidden="1" customWidth="1"/>
    <col min="20" max="20" width="11.33203125" style="3" hidden="1" customWidth="1"/>
    <col min="21" max="16384" width="8.9296875" style="3"/>
  </cols>
  <sheetData>
    <row r="1" spans="1:20" s="1" customFormat="1" ht="12.5" customHeight="1">
      <c r="A1" s="839" t="s">
        <v>1707</v>
      </c>
      <c r="B1" s="839"/>
      <c r="C1" s="839"/>
      <c r="D1" s="839"/>
      <c r="E1" s="839"/>
      <c r="F1" s="839"/>
      <c r="G1" s="839"/>
      <c r="H1" s="839"/>
      <c r="I1" s="839"/>
      <c r="J1" s="839"/>
      <c r="K1" s="839"/>
      <c r="L1" s="31"/>
      <c r="O1" s="8"/>
      <c r="Q1" s="39"/>
    </row>
    <row r="2" spans="1:20" s="1" customFormat="1" ht="12.5" customHeight="1">
      <c r="A2" s="840" t="s">
        <v>1254</v>
      </c>
      <c r="B2" s="841"/>
      <c r="C2" s="841"/>
      <c r="D2" s="841"/>
      <c r="E2" s="841"/>
      <c r="F2" s="841"/>
      <c r="G2" s="841"/>
      <c r="H2" s="841"/>
      <c r="I2" s="841"/>
      <c r="J2" s="841"/>
      <c r="K2" s="841"/>
      <c r="L2" s="31"/>
      <c r="O2" s="32"/>
      <c r="Q2" s="40"/>
    </row>
    <row r="3" spans="1:20" s="1" customFormat="1">
      <c r="A3" s="842"/>
      <c r="B3" s="843"/>
      <c r="C3" s="843"/>
      <c r="D3" s="843"/>
      <c r="E3" s="843"/>
      <c r="F3" s="843"/>
      <c r="G3" s="843"/>
      <c r="H3" s="843"/>
      <c r="I3" s="33"/>
      <c r="L3" s="31"/>
      <c r="Q3" s="41"/>
    </row>
    <row r="4" spans="1:20" s="2" customFormat="1" ht="52.5" customHeight="1">
      <c r="A4" s="844" t="s">
        <v>1708</v>
      </c>
      <c r="B4" s="844" t="s">
        <v>1709</v>
      </c>
      <c r="C4" s="10" t="s">
        <v>1710</v>
      </c>
      <c r="D4" s="10" t="s">
        <v>1711</v>
      </c>
      <c r="E4" s="10" t="s">
        <v>1712</v>
      </c>
      <c r="F4" s="10" t="s">
        <v>1713</v>
      </c>
      <c r="G4" s="11" t="s">
        <v>1714</v>
      </c>
      <c r="H4" s="10" t="s">
        <v>1715</v>
      </c>
      <c r="I4" s="746" t="s">
        <v>1716</v>
      </c>
      <c r="J4" s="10" t="s">
        <v>1717</v>
      </c>
      <c r="K4" s="10" t="s">
        <v>1718</v>
      </c>
      <c r="L4" s="34"/>
      <c r="O4" s="10" t="s">
        <v>1719</v>
      </c>
      <c r="Q4" s="42" t="s">
        <v>1720</v>
      </c>
    </row>
    <row r="5" spans="1:20" s="2" customFormat="1">
      <c r="A5" s="844"/>
      <c r="B5" s="844"/>
      <c r="C5" s="10" t="s">
        <v>1604</v>
      </c>
      <c r="D5" s="10" t="s">
        <v>1721</v>
      </c>
      <c r="E5" s="10" t="s">
        <v>1721</v>
      </c>
      <c r="F5" s="10"/>
      <c r="G5" s="10" t="s">
        <v>1721</v>
      </c>
      <c r="H5" s="10" t="s">
        <v>1721</v>
      </c>
      <c r="I5" s="747"/>
      <c r="J5" s="10" t="s">
        <v>1721</v>
      </c>
      <c r="K5" s="10" t="s">
        <v>1721</v>
      </c>
      <c r="L5" s="34"/>
      <c r="O5" s="10"/>
      <c r="Q5" s="42"/>
    </row>
    <row r="6" spans="1:20" s="2" customFormat="1" hidden="1">
      <c r="A6" s="9">
        <v>1</v>
      </c>
      <c r="B6" s="9" t="s">
        <v>1722</v>
      </c>
      <c r="C6" s="10"/>
      <c r="D6" s="10"/>
      <c r="E6" s="10"/>
      <c r="F6" s="10"/>
      <c r="G6" s="10"/>
      <c r="H6" s="10"/>
      <c r="I6" s="748"/>
      <c r="J6" s="10"/>
      <c r="K6" s="10"/>
      <c r="L6" s="34"/>
      <c r="O6" s="10">
        <f>I6-H6</f>
        <v>0</v>
      </c>
      <c r="Q6" s="42"/>
    </row>
    <row r="7" spans="1:20" ht="14.25">
      <c r="A7" s="12"/>
      <c r="B7" s="13" t="s">
        <v>1722</v>
      </c>
      <c r="C7" s="14">
        <v>11244322462</v>
      </c>
      <c r="D7" s="14">
        <v>11244322462</v>
      </c>
      <c r="E7" s="14">
        <v>11384160751</v>
      </c>
      <c r="F7" s="14">
        <v>119747086</v>
      </c>
      <c r="G7" s="14"/>
      <c r="H7" s="14">
        <f>E7+F7</f>
        <v>11503907837</v>
      </c>
      <c r="I7" s="749">
        <v>11637574231</v>
      </c>
      <c r="J7" s="14">
        <f>I7*1.05</f>
        <v>12219452942.550001</v>
      </c>
      <c r="K7" s="14">
        <f>J7*1.05</f>
        <v>12830425589.677502</v>
      </c>
      <c r="L7" s="6">
        <f>I7-H7</f>
        <v>133666394</v>
      </c>
      <c r="M7" s="36">
        <f>I7/H7-1</f>
        <v>1.1619216347517058E-2</v>
      </c>
      <c r="O7" s="14">
        <f t="shared" ref="O7:O68" si="0">I7-H7</f>
        <v>133666394</v>
      </c>
      <c r="Q7" s="43">
        <f>I7/H7-1</f>
        <v>1.1619216347517058E-2</v>
      </c>
    </row>
    <row r="8" spans="1:20" s="2" customFormat="1">
      <c r="A8" s="15"/>
      <c r="B8" s="16" t="s">
        <v>1723</v>
      </c>
      <c r="C8" s="17">
        <v>11244322462</v>
      </c>
      <c r="D8" s="17">
        <f t="shared" ref="D8:K8" si="1">D7</f>
        <v>11244322462</v>
      </c>
      <c r="E8" s="17">
        <f t="shared" si="1"/>
        <v>11384160751</v>
      </c>
      <c r="F8" s="17">
        <f t="shared" si="1"/>
        <v>119747086</v>
      </c>
      <c r="G8" s="17"/>
      <c r="H8" s="17">
        <f t="shared" si="1"/>
        <v>11503907837</v>
      </c>
      <c r="I8" s="750">
        <f t="shared" si="1"/>
        <v>11637574231</v>
      </c>
      <c r="J8" s="37">
        <f t="shared" si="1"/>
        <v>12219452942.550001</v>
      </c>
      <c r="K8" s="37">
        <f t="shared" si="1"/>
        <v>12830425589.677502</v>
      </c>
      <c r="L8" s="34"/>
      <c r="O8" s="37">
        <f t="shared" si="0"/>
        <v>133666394</v>
      </c>
      <c r="Q8" s="44">
        <f t="shared" ref="Q8:Q68" si="2">I8/H8-1</f>
        <v>1.1619216347517058E-2</v>
      </c>
    </row>
    <row r="9" spans="1:20" hidden="1">
      <c r="A9" s="12"/>
      <c r="B9" s="18"/>
      <c r="C9" s="14"/>
      <c r="D9" s="14"/>
      <c r="E9" s="14"/>
      <c r="F9" s="14"/>
      <c r="G9" s="14"/>
      <c r="H9" s="14"/>
      <c r="I9" s="749"/>
      <c r="J9" s="14"/>
      <c r="K9" s="14"/>
      <c r="O9" s="14">
        <f t="shared" si="0"/>
        <v>0</v>
      </c>
      <c r="Q9" s="43"/>
    </row>
    <row r="10" spans="1:20">
      <c r="A10" s="12">
        <v>2</v>
      </c>
      <c r="B10" s="9" t="s">
        <v>1724</v>
      </c>
      <c r="C10" s="19"/>
      <c r="D10" s="19"/>
      <c r="E10" s="19"/>
      <c r="F10" s="19"/>
      <c r="G10" s="19"/>
      <c r="H10" s="19"/>
      <c r="I10" s="749"/>
      <c r="J10" s="19"/>
      <c r="K10" s="19"/>
      <c r="O10" s="19">
        <f t="shared" si="0"/>
        <v>0</v>
      </c>
      <c r="Q10" s="45"/>
    </row>
    <row r="11" spans="1:20" hidden="1">
      <c r="A11" s="13"/>
      <c r="B11" s="13" t="s">
        <v>1725</v>
      </c>
      <c r="C11" s="19"/>
      <c r="D11" s="19"/>
      <c r="E11" s="19"/>
      <c r="F11" s="19"/>
      <c r="G11" s="19"/>
      <c r="H11" s="19"/>
      <c r="I11" s="749"/>
      <c r="J11" s="14">
        <f>I11*1</f>
        <v>0</v>
      </c>
      <c r="K11" s="14">
        <f>I11*1</f>
        <v>0</v>
      </c>
      <c r="O11" s="14">
        <f t="shared" si="0"/>
        <v>0</v>
      </c>
      <c r="Q11" s="43"/>
    </row>
    <row r="12" spans="1:20" hidden="1">
      <c r="A12" s="13"/>
      <c r="B12" s="13" t="s">
        <v>1726</v>
      </c>
      <c r="C12" s="14">
        <v>0</v>
      </c>
      <c r="D12" s="14">
        <v>0</v>
      </c>
      <c r="E12" s="14">
        <v>0</v>
      </c>
      <c r="F12" s="14"/>
      <c r="G12" s="14"/>
      <c r="H12" s="14"/>
      <c r="I12" s="749"/>
      <c r="J12" s="14">
        <f t="shared" ref="J12:J39" si="3">I12*1</f>
        <v>0</v>
      </c>
      <c r="K12" s="14">
        <f t="shared" ref="K12:K39" si="4">I12*1</f>
        <v>0</v>
      </c>
      <c r="O12" s="14">
        <f t="shared" si="0"/>
        <v>0</v>
      </c>
      <c r="Q12" s="43"/>
    </row>
    <row r="13" spans="1:20">
      <c r="A13" s="13"/>
      <c r="B13" s="13" t="s">
        <v>1727</v>
      </c>
      <c r="C13" s="14">
        <v>0</v>
      </c>
      <c r="D13" s="14">
        <v>0</v>
      </c>
      <c r="E13" s="14"/>
      <c r="F13" s="14"/>
      <c r="G13" s="14"/>
      <c r="H13" s="14"/>
      <c r="I13" s="751">
        <v>43756694</v>
      </c>
      <c r="J13" s="14">
        <f t="shared" si="3"/>
        <v>43756694</v>
      </c>
      <c r="K13" s="14">
        <f t="shared" si="4"/>
        <v>43756694</v>
      </c>
      <c r="O13" s="14">
        <f t="shared" si="0"/>
        <v>43756694</v>
      </c>
      <c r="Q13" s="43">
        <v>1</v>
      </c>
    </row>
    <row r="14" spans="1:20">
      <c r="A14" s="13"/>
      <c r="B14" s="13" t="s">
        <v>1728</v>
      </c>
      <c r="C14" s="14">
        <v>445098849.88999999</v>
      </c>
      <c r="D14" s="14">
        <v>445098849.88999999</v>
      </c>
      <c r="E14" s="14">
        <v>445098849.88999999</v>
      </c>
      <c r="F14" s="20">
        <v>152455602</v>
      </c>
      <c r="G14" s="20"/>
      <c r="H14" s="14">
        <f>E14+F14+G14</f>
        <v>597554451.88999999</v>
      </c>
      <c r="I14" s="749">
        <v>0</v>
      </c>
      <c r="J14" s="14">
        <f t="shared" si="3"/>
        <v>0</v>
      </c>
      <c r="K14" s="14">
        <f t="shared" si="4"/>
        <v>0</v>
      </c>
      <c r="O14" s="14">
        <f t="shared" si="0"/>
        <v>-597554451.88999999</v>
      </c>
      <c r="Q14" s="43">
        <f t="shared" si="2"/>
        <v>-1</v>
      </c>
    </row>
    <row r="15" spans="1:20" ht="14.25">
      <c r="A15" s="13"/>
      <c r="B15" s="13" t="s">
        <v>1729</v>
      </c>
      <c r="C15" s="14">
        <v>37500000</v>
      </c>
      <c r="D15" s="14">
        <v>37500000</v>
      </c>
      <c r="E15" s="14">
        <v>37500000</v>
      </c>
      <c r="F15" s="20">
        <v>1511137</v>
      </c>
      <c r="G15" s="20"/>
      <c r="H15" s="14">
        <f t="shared" ref="H15:H39" si="5">E15+F15+G15</f>
        <v>39011137</v>
      </c>
      <c r="I15" s="749">
        <f>E15</f>
        <v>37500000</v>
      </c>
      <c r="J15" s="14">
        <f t="shared" si="3"/>
        <v>37500000</v>
      </c>
      <c r="K15" s="14">
        <f t="shared" si="4"/>
        <v>37500000</v>
      </c>
      <c r="O15" s="14">
        <f t="shared" si="0"/>
        <v>-1511137</v>
      </c>
      <c r="Q15" s="43">
        <f t="shared" si="2"/>
        <v>-3.8736040941334315E-2</v>
      </c>
      <c r="S15" s="46">
        <v>72909500</v>
      </c>
      <c r="T15" s="47">
        <f>S15-I15</f>
        <v>35409500</v>
      </c>
    </row>
    <row r="16" spans="1:20">
      <c r="A16" s="13"/>
      <c r="B16" s="13" t="s">
        <v>1730</v>
      </c>
      <c r="C16" s="14"/>
      <c r="D16" s="14"/>
      <c r="E16" s="14">
        <v>352500000</v>
      </c>
      <c r="F16" s="20">
        <v>5625000</v>
      </c>
      <c r="G16" s="20"/>
      <c r="H16" s="14">
        <f t="shared" si="5"/>
        <v>358125000</v>
      </c>
      <c r="I16" s="749">
        <f>E16</f>
        <v>352500000</v>
      </c>
      <c r="J16" s="14">
        <f t="shared" si="3"/>
        <v>352500000</v>
      </c>
      <c r="K16" s="14">
        <f t="shared" si="4"/>
        <v>352500000</v>
      </c>
      <c r="O16" s="14">
        <f t="shared" si="0"/>
        <v>-5625000</v>
      </c>
      <c r="Q16" s="43">
        <f t="shared" si="2"/>
        <v>-1.5706806282722474E-2</v>
      </c>
    </row>
    <row r="17" spans="1:19" hidden="1">
      <c r="A17" s="13"/>
      <c r="B17" s="13" t="s">
        <v>1731</v>
      </c>
      <c r="C17" s="14">
        <v>0</v>
      </c>
      <c r="D17" s="14">
        <v>0</v>
      </c>
      <c r="E17" s="14">
        <v>0</v>
      </c>
      <c r="F17" s="20"/>
      <c r="G17" s="20"/>
      <c r="H17" s="14">
        <f t="shared" si="5"/>
        <v>0</v>
      </c>
      <c r="I17" s="749">
        <f>E17</f>
        <v>0</v>
      </c>
      <c r="J17" s="14">
        <f t="shared" si="3"/>
        <v>0</v>
      </c>
      <c r="K17" s="14">
        <f t="shared" si="4"/>
        <v>0</v>
      </c>
      <c r="M17" s="38"/>
      <c r="O17" s="14">
        <f t="shared" si="0"/>
        <v>0</v>
      </c>
      <c r="Q17" s="43"/>
    </row>
    <row r="18" spans="1:19" hidden="1">
      <c r="A18" s="13"/>
      <c r="B18" s="13" t="s">
        <v>1732</v>
      </c>
      <c r="C18" s="14">
        <v>0</v>
      </c>
      <c r="D18" s="14">
        <v>0</v>
      </c>
      <c r="E18" s="14">
        <v>0</v>
      </c>
      <c r="F18" s="20"/>
      <c r="G18" s="20"/>
      <c r="H18" s="14">
        <f t="shared" si="5"/>
        <v>0</v>
      </c>
      <c r="I18" s="749">
        <f>E18</f>
        <v>0</v>
      </c>
      <c r="J18" s="14">
        <f t="shared" si="3"/>
        <v>0</v>
      </c>
      <c r="K18" s="14">
        <f t="shared" si="4"/>
        <v>0</v>
      </c>
      <c r="M18" s="38"/>
      <c r="O18" s="14">
        <f t="shared" si="0"/>
        <v>0</v>
      </c>
      <c r="Q18" s="43"/>
    </row>
    <row r="19" spans="1:19" hidden="1">
      <c r="A19" s="13"/>
      <c r="B19" s="18" t="s">
        <v>1733</v>
      </c>
      <c r="C19" s="14">
        <v>121025000</v>
      </c>
      <c r="D19" s="14">
        <v>121025000</v>
      </c>
      <c r="E19" s="14">
        <v>121025000</v>
      </c>
      <c r="F19" s="20">
        <v>8363458</v>
      </c>
      <c r="G19" s="20">
        <v>-129388458</v>
      </c>
      <c r="H19" s="14">
        <f t="shared" si="5"/>
        <v>0</v>
      </c>
      <c r="I19" s="749">
        <v>0</v>
      </c>
      <c r="J19" s="14">
        <f t="shared" si="3"/>
        <v>0</v>
      </c>
      <c r="K19" s="14">
        <f t="shared" si="4"/>
        <v>0</v>
      </c>
      <c r="M19" s="38"/>
      <c r="O19" s="14">
        <f t="shared" si="0"/>
        <v>0</v>
      </c>
      <c r="Q19" s="43"/>
    </row>
    <row r="20" spans="1:19">
      <c r="A20" s="13"/>
      <c r="B20" s="18" t="s">
        <v>1734</v>
      </c>
      <c r="C20" s="14"/>
      <c r="D20" s="14"/>
      <c r="E20" s="14"/>
      <c r="F20" s="20">
        <v>16326684.1</v>
      </c>
      <c r="G20" s="20"/>
      <c r="H20" s="14">
        <f t="shared" si="5"/>
        <v>16326684.1</v>
      </c>
      <c r="I20" s="749">
        <f>E20</f>
        <v>0</v>
      </c>
      <c r="J20" s="14">
        <f t="shared" si="3"/>
        <v>0</v>
      </c>
      <c r="K20" s="14">
        <f t="shared" si="4"/>
        <v>0</v>
      </c>
      <c r="M20" s="38"/>
      <c r="O20" s="14">
        <f t="shared" si="0"/>
        <v>-16326684.1</v>
      </c>
      <c r="Q20" s="43">
        <f t="shared" si="2"/>
        <v>-1</v>
      </c>
    </row>
    <row r="21" spans="1:19" ht="25.5">
      <c r="A21" s="13"/>
      <c r="B21" s="18" t="s">
        <v>1735</v>
      </c>
      <c r="C21" s="14">
        <v>151515152</v>
      </c>
      <c r="D21" s="14">
        <v>151515152</v>
      </c>
      <c r="E21" s="14">
        <v>151515152</v>
      </c>
      <c r="F21" s="20">
        <v>96679493</v>
      </c>
      <c r="G21" s="20"/>
      <c r="H21" s="14">
        <f t="shared" si="5"/>
        <v>248194645</v>
      </c>
      <c r="I21" s="749">
        <v>231250000</v>
      </c>
      <c r="J21" s="14">
        <f t="shared" si="3"/>
        <v>231250000</v>
      </c>
      <c r="K21" s="14">
        <f t="shared" si="4"/>
        <v>231250000</v>
      </c>
      <c r="M21" s="38"/>
      <c r="O21" s="14">
        <f t="shared" si="0"/>
        <v>-16944645</v>
      </c>
      <c r="Q21" s="43">
        <f t="shared" si="2"/>
        <v>-6.8271597882379798E-2</v>
      </c>
      <c r="S21" s="3" t="s">
        <v>1736</v>
      </c>
    </row>
    <row r="22" spans="1:19">
      <c r="A22" s="13"/>
      <c r="B22" s="13" t="s">
        <v>1737</v>
      </c>
      <c r="C22" s="14">
        <v>13601250</v>
      </c>
      <c r="D22" s="14">
        <v>13601250</v>
      </c>
      <c r="E22" s="14">
        <v>13601250</v>
      </c>
      <c r="F22" s="20">
        <v>488076</v>
      </c>
      <c r="G22" s="20"/>
      <c r="H22" s="14">
        <f t="shared" si="5"/>
        <v>14089326</v>
      </c>
      <c r="I22" s="749">
        <v>14229000</v>
      </c>
      <c r="J22" s="14">
        <f t="shared" si="3"/>
        <v>14229000</v>
      </c>
      <c r="K22" s="14">
        <f t="shared" si="4"/>
        <v>14229000</v>
      </c>
      <c r="M22" s="38"/>
      <c r="O22" s="14">
        <f t="shared" si="0"/>
        <v>139674</v>
      </c>
      <c r="Q22" s="43">
        <f t="shared" si="2"/>
        <v>9.9134621485796881E-3</v>
      </c>
    </row>
    <row r="23" spans="1:19">
      <c r="A23" s="13"/>
      <c r="B23" s="13" t="s">
        <v>1738</v>
      </c>
      <c r="C23" s="21">
        <v>250000000</v>
      </c>
      <c r="D23" s="21"/>
      <c r="E23" s="14">
        <v>250000000</v>
      </c>
      <c r="F23" s="20">
        <v>51525750</v>
      </c>
      <c r="G23" s="20"/>
      <c r="H23" s="14">
        <f t="shared" si="5"/>
        <v>301525750</v>
      </c>
      <c r="I23" s="749">
        <v>0</v>
      </c>
      <c r="J23" s="14">
        <f t="shared" si="3"/>
        <v>0</v>
      </c>
      <c r="K23" s="14">
        <f t="shared" si="4"/>
        <v>0</v>
      </c>
      <c r="M23" s="38"/>
      <c r="O23" s="14">
        <f t="shared" si="0"/>
        <v>-301525750</v>
      </c>
      <c r="Q23" s="43">
        <f t="shared" si="2"/>
        <v>-1</v>
      </c>
    </row>
    <row r="24" spans="1:19">
      <c r="A24" s="13"/>
      <c r="B24" s="13" t="s">
        <v>1739</v>
      </c>
      <c r="C24" s="14">
        <v>58050445.130000003</v>
      </c>
      <c r="D24" s="14">
        <v>58050445.130000003</v>
      </c>
      <c r="E24" s="14">
        <v>58050445.130000003</v>
      </c>
      <c r="F24" s="20"/>
      <c r="G24" s="20"/>
      <c r="H24" s="14">
        <f t="shared" si="5"/>
        <v>58050445.130000003</v>
      </c>
      <c r="I24" s="749">
        <v>74100000</v>
      </c>
      <c r="J24" s="14">
        <f t="shared" si="3"/>
        <v>74100000</v>
      </c>
      <c r="K24" s="14">
        <f t="shared" si="4"/>
        <v>74100000</v>
      </c>
      <c r="M24" s="38"/>
      <c r="O24" s="14">
        <f t="shared" si="0"/>
        <v>16049554.869999997</v>
      </c>
      <c r="Q24" s="43">
        <f t="shared" si="2"/>
        <v>0.27647600003855466</v>
      </c>
    </row>
    <row r="25" spans="1:19" ht="25.5" hidden="1">
      <c r="A25" s="13"/>
      <c r="B25" s="13" t="s">
        <v>1740</v>
      </c>
      <c r="C25" s="14">
        <v>0</v>
      </c>
      <c r="D25" s="14">
        <v>0</v>
      </c>
      <c r="E25" s="14">
        <v>0</v>
      </c>
      <c r="F25" s="20"/>
      <c r="G25" s="20"/>
      <c r="H25" s="14">
        <f t="shared" si="5"/>
        <v>0</v>
      </c>
      <c r="I25" s="749">
        <f>E25</f>
        <v>0</v>
      </c>
      <c r="J25" s="14">
        <f t="shared" si="3"/>
        <v>0</v>
      </c>
      <c r="K25" s="14">
        <f t="shared" si="4"/>
        <v>0</v>
      </c>
      <c r="M25" s="38"/>
      <c r="O25" s="14">
        <f t="shared" si="0"/>
        <v>0</v>
      </c>
      <c r="Q25" s="43"/>
    </row>
    <row r="26" spans="1:19" ht="25.5">
      <c r="A26" s="13"/>
      <c r="B26" s="13" t="s">
        <v>1741</v>
      </c>
      <c r="C26" s="14">
        <v>0</v>
      </c>
      <c r="D26" s="14">
        <v>0</v>
      </c>
      <c r="E26" s="14">
        <v>205807064</v>
      </c>
      <c r="F26" s="20">
        <v>171282426.30000001</v>
      </c>
      <c r="G26" s="20"/>
      <c r="H26" s="14">
        <f t="shared" si="5"/>
        <v>377089490.30000001</v>
      </c>
      <c r="I26" s="749">
        <f>E26</f>
        <v>205807064</v>
      </c>
      <c r="J26" s="14">
        <f t="shared" si="3"/>
        <v>205807064</v>
      </c>
      <c r="K26" s="14">
        <f t="shared" si="4"/>
        <v>205807064</v>
      </c>
      <c r="M26" s="38"/>
      <c r="O26" s="14">
        <f t="shared" si="0"/>
        <v>-171282426.30000001</v>
      </c>
      <c r="Q26" s="43">
        <f t="shared" si="2"/>
        <v>-0.45422222232641207</v>
      </c>
    </row>
    <row r="27" spans="1:19" hidden="1">
      <c r="A27" s="13"/>
      <c r="B27" s="18" t="s">
        <v>1742</v>
      </c>
      <c r="C27" s="14">
        <v>0</v>
      </c>
      <c r="D27" s="14">
        <v>0</v>
      </c>
      <c r="E27" s="14">
        <v>0</v>
      </c>
      <c r="F27" s="20"/>
      <c r="G27" s="20"/>
      <c r="H27" s="14">
        <f t="shared" si="5"/>
        <v>0</v>
      </c>
      <c r="I27" s="749">
        <f>E27</f>
        <v>0</v>
      </c>
      <c r="J27" s="14">
        <f t="shared" si="3"/>
        <v>0</v>
      </c>
      <c r="K27" s="14">
        <f t="shared" si="4"/>
        <v>0</v>
      </c>
      <c r="M27" s="38"/>
      <c r="O27" s="14">
        <f t="shared" si="0"/>
        <v>0</v>
      </c>
      <c r="Q27" s="43"/>
    </row>
    <row r="28" spans="1:19">
      <c r="A28" s="13"/>
      <c r="B28" s="13" t="s">
        <v>1743</v>
      </c>
      <c r="C28" s="14">
        <v>0</v>
      </c>
      <c r="D28" s="14">
        <v>0</v>
      </c>
      <c r="E28" s="14">
        <v>0</v>
      </c>
      <c r="F28" s="20">
        <v>362908</v>
      </c>
      <c r="G28" s="20"/>
      <c r="H28" s="14">
        <f t="shared" si="5"/>
        <v>362908</v>
      </c>
      <c r="I28" s="749">
        <f>E28</f>
        <v>0</v>
      </c>
      <c r="J28" s="14">
        <f t="shared" si="3"/>
        <v>0</v>
      </c>
      <c r="K28" s="14">
        <f t="shared" si="4"/>
        <v>0</v>
      </c>
      <c r="O28" s="14">
        <f t="shared" si="0"/>
        <v>-362908</v>
      </c>
      <c r="Q28" s="43">
        <f t="shared" si="2"/>
        <v>-1</v>
      </c>
    </row>
    <row r="29" spans="1:19" hidden="1">
      <c r="A29" s="13"/>
      <c r="B29" s="13" t="s">
        <v>1744</v>
      </c>
      <c r="C29" s="14">
        <v>0</v>
      </c>
      <c r="D29" s="14">
        <v>0</v>
      </c>
      <c r="E29" s="14">
        <v>0</v>
      </c>
      <c r="F29" s="20"/>
      <c r="G29" s="20"/>
      <c r="H29" s="14">
        <f t="shared" si="5"/>
        <v>0</v>
      </c>
      <c r="I29" s="749">
        <f>E29</f>
        <v>0</v>
      </c>
      <c r="J29" s="14">
        <f t="shared" si="3"/>
        <v>0</v>
      </c>
      <c r="K29" s="14">
        <f t="shared" si="4"/>
        <v>0</v>
      </c>
      <c r="O29" s="14">
        <f t="shared" si="0"/>
        <v>0</v>
      </c>
      <c r="Q29" s="43"/>
    </row>
    <row r="30" spans="1:19" ht="25.5">
      <c r="A30" s="13"/>
      <c r="B30" s="13" t="s">
        <v>1745</v>
      </c>
      <c r="C30" s="14"/>
      <c r="D30" s="14"/>
      <c r="E30" s="14"/>
      <c r="F30" s="20"/>
      <c r="G30" s="20"/>
      <c r="H30" s="14"/>
      <c r="I30" s="749">
        <v>1987622</v>
      </c>
      <c r="J30" s="14">
        <f t="shared" si="3"/>
        <v>1987622</v>
      </c>
      <c r="K30" s="14">
        <f t="shared" si="4"/>
        <v>1987622</v>
      </c>
      <c r="O30" s="14">
        <f t="shared" si="0"/>
        <v>1987622</v>
      </c>
      <c r="Q30" s="43"/>
    </row>
    <row r="31" spans="1:19" hidden="1">
      <c r="A31" s="13"/>
      <c r="B31" s="13" t="s">
        <v>1746</v>
      </c>
      <c r="C31" s="14"/>
      <c r="D31" s="14"/>
      <c r="E31" s="14"/>
      <c r="F31" s="20"/>
      <c r="G31" s="20"/>
      <c r="H31" s="14">
        <f t="shared" si="5"/>
        <v>0</v>
      </c>
      <c r="I31" s="749">
        <f>E31</f>
        <v>0</v>
      </c>
      <c r="J31" s="14">
        <f t="shared" si="3"/>
        <v>0</v>
      </c>
      <c r="K31" s="14">
        <f t="shared" si="4"/>
        <v>0</v>
      </c>
      <c r="O31" s="14">
        <f t="shared" si="0"/>
        <v>0</v>
      </c>
      <c r="Q31" s="43"/>
    </row>
    <row r="32" spans="1:19" ht="38.25">
      <c r="A32" s="13"/>
      <c r="B32" s="13" t="s">
        <v>1747</v>
      </c>
      <c r="C32" s="14"/>
      <c r="D32" s="14"/>
      <c r="E32" s="14"/>
      <c r="F32" s="20"/>
      <c r="G32" s="20"/>
      <c r="H32" s="14"/>
      <c r="I32" s="749">
        <v>28464416</v>
      </c>
      <c r="J32" s="14">
        <f t="shared" si="3"/>
        <v>28464416</v>
      </c>
      <c r="K32" s="14">
        <f t="shared" si="4"/>
        <v>28464416</v>
      </c>
      <c r="O32" s="14"/>
      <c r="Q32" s="43"/>
    </row>
    <row r="33" spans="1:17" ht="38.25">
      <c r="A33" s="13"/>
      <c r="B33" s="13" t="s">
        <v>1748</v>
      </c>
      <c r="C33" s="14"/>
      <c r="D33" s="14"/>
      <c r="E33" s="14"/>
      <c r="F33" s="20"/>
      <c r="G33" s="20"/>
      <c r="H33" s="14"/>
      <c r="I33" s="749">
        <v>21765280</v>
      </c>
      <c r="J33" s="14">
        <f t="shared" si="3"/>
        <v>21765280</v>
      </c>
      <c r="K33" s="14">
        <f t="shared" si="4"/>
        <v>21765280</v>
      </c>
      <c r="O33" s="14"/>
      <c r="Q33" s="43"/>
    </row>
    <row r="34" spans="1:17">
      <c r="A34" s="13"/>
      <c r="B34" s="13" t="s">
        <v>1749</v>
      </c>
      <c r="C34" s="14">
        <v>35000000</v>
      </c>
      <c r="D34" s="14">
        <v>35000000</v>
      </c>
      <c r="E34" s="14">
        <v>28400000</v>
      </c>
      <c r="F34" s="20">
        <v>32314592</v>
      </c>
      <c r="G34" s="20"/>
      <c r="H34" s="14">
        <f t="shared" si="5"/>
        <v>60714592</v>
      </c>
      <c r="I34" s="749">
        <f>E34</f>
        <v>28400000</v>
      </c>
      <c r="J34" s="14">
        <f t="shared" si="3"/>
        <v>28400000</v>
      </c>
      <c r="K34" s="14">
        <f t="shared" si="4"/>
        <v>28400000</v>
      </c>
      <c r="O34" s="14">
        <f t="shared" si="0"/>
        <v>-32314592</v>
      </c>
      <c r="Q34" s="43">
        <f t="shared" si="2"/>
        <v>-0.53223765384110622</v>
      </c>
    </row>
    <row r="35" spans="1:17">
      <c r="A35" s="13"/>
      <c r="B35" s="13" t="s">
        <v>1779</v>
      </c>
      <c r="C35" s="14"/>
      <c r="D35" s="14"/>
      <c r="E35" s="14"/>
      <c r="F35" s="20"/>
      <c r="G35" s="20"/>
      <c r="H35" s="14"/>
      <c r="I35" s="749">
        <v>228000000</v>
      </c>
      <c r="J35" s="14">
        <f t="shared" ref="J35" si="6">I35*1</f>
        <v>228000000</v>
      </c>
      <c r="K35" s="14">
        <f t="shared" ref="K35" si="7">I35*1</f>
        <v>228000000</v>
      </c>
      <c r="O35" s="14"/>
      <c r="Q35" s="43"/>
    </row>
    <row r="36" spans="1:17">
      <c r="A36" s="13"/>
      <c r="B36" s="13" t="s">
        <v>1750</v>
      </c>
      <c r="C36" s="14"/>
      <c r="D36" s="14"/>
      <c r="E36" s="14"/>
      <c r="F36" s="20">
        <v>1235286</v>
      </c>
      <c r="G36" s="20"/>
      <c r="H36" s="14">
        <f t="shared" si="5"/>
        <v>1235286</v>
      </c>
      <c r="I36" s="749">
        <f>E36</f>
        <v>0</v>
      </c>
      <c r="J36" s="14">
        <f t="shared" si="3"/>
        <v>0</v>
      </c>
      <c r="K36" s="14">
        <f t="shared" si="4"/>
        <v>0</v>
      </c>
      <c r="O36" s="14">
        <f t="shared" si="0"/>
        <v>-1235286</v>
      </c>
      <c r="Q36" s="43">
        <f t="shared" si="2"/>
        <v>-1</v>
      </c>
    </row>
    <row r="37" spans="1:17" hidden="1">
      <c r="A37" s="13"/>
      <c r="B37" s="13" t="s">
        <v>1751</v>
      </c>
      <c r="C37" s="14">
        <v>0</v>
      </c>
      <c r="D37" s="14">
        <v>0</v>
      </c>
      <c r="E37" s="14">
        <v>0</v>
      </c>
      <c r="F37" s="20">
        <v>0</v>
      </c>
      <c r="G37" s="20"/>
      <c r="H37" s="14">
        <f t="shared" si="5"/>
        <v>0</v>
      </c>
      <c r="I37" s="749">
        <f>E37</f>
        <v>0</v>
      </c>
      <c r="J37" s="14">
        <f t="shared" si="3"/>
        <v>0</v>
      </c>
      <c r="K37" s="14">
        <f t="shared" si="4"/>
        <v>0</v>
      </c>
      <c r="O37" s="14">
        <f t="shared" si="0"/>
        <v>0</v>
      </c>
      <c r="Q37" s="43"/>
    </row>
    <row r="38" spans="1:17">
      <c r="A38" s="13"/>
      <c r="B38" s="13" t="s">
        <v>1752</v>
      </c>
      <c r="C38" s="14">
        <v>50000</v>
      </c>
      <c r="D38" s="14">
        <v>50000</v>
      </c>
      <c r="E38" s="14">
        <v>50000</v>
      </c>
      <c r="F38" s="20"/>
      <c r="G38" s="20"/>
      <c r="H38" s="14">
        <f t="shared" si="5"/>
        <v>50000</v>
      </c>
      <c r="I38" s="749">
        <v>99723</v>
      </c>
      <c r="J38" s="14">
        <f t="shared" si="3"/>
        <v>99723</v>
      </c>
      <c r="K38" s="14">
        <f t="shared" si="4"/>
        <v>99723</v>
      </c>
      <c r="O38" s="14">
        <f t="shared" si="0"/>
        <v>49723</v>
      </c>
      <c r="Q38" s="43">
        <f t="shared" si="2"/>
        <v>0.9944599999999999</v>
      </c>
    </row>
    <row r="39" spans="1:17">
      <c r="A39" s="13"/>
      <c r="B39" s="13" t="s">
        <v>1753</v>
      </c>
      <c r="C39" s="14">
        <v>114279</v>
      </c>
      <c r="D39" s="14">
        <v>114279</v>
      </c>
      <c r="E39" s="14">
        <v>114279</v>
      </c>
      <c r="F39" s="20"/>
      <c r="G39" s="20"/>
      <c r="H39" s="14">
        <f t="shared" si="5"/>
        <v>114279</v>
      </c>
      <c r="I39" s="749">
        <v>336118</v>
      </c>
      <c r="J39" s="14">
        <f t="shared" si="3"/>
        <v>336118</v>
      </c>
      <c r="K39" s="14">
        <f t="shared" si="4"/>
        <v>336118</v>
      </c>
      <c r="O39" s="14">
        <f t="shared" si="0"/>
        <v>221839</v>
      </c>
      <c r="Q39" s="43">
        <f t="shared" si="2"/>
        <v>1.941205295811129</v>
      </c>
    </row>
    <row r="40" spans="1:17" s="2" customFormat="1">
      <c r="A40" s="9"/>
      <c r="B40" s="9" t="s">
        <v>1754</v>
      </c>
      <c r="C40" s="22">
        <f t="shared" ref="C40:I40" si="8">SUM(C11:C39)</f>
        <v>1111954976.02</v>
      </c>
      <c r="D40" s="22">
        <f t="shared" si="8"/>
        <v>861954976.01999998</v>
      </c>
      <c r="E40" s="22">
        <f t="shared" si="8"/>
        <v>1663662040.02</v>
      </c>
      <c r="F40" s="22">
        <f t="shared" si="8"/>
        <v>538170412.4000001</v>
      </c>
      <c r="G40" s="22">
        <f t="shared" si="8"/>
        <v>-129388458</v>
      </c>
      <c r="H40" s="22">
        <f t="shared" si="8"/>
        <v>2072443994.4200001</v>
      </c>
      <c r="I40" s="750">
        <f t="shared" si="8"/>
        <v>1268195917</v>
      </c>
      <c r="J40" s="37">
        <f t="shared" ref="J40:K40" si="9">SUM(J11:J39)</f>
        <v>1268195917</v>
      </c>
      <c r="K40" s="37">
        <f t="shared" si="9"/>
        <v>1268195917</v>
      </c>
      <c r="L40" s="34"/>
      <c r="O40" s="37">
        <f t="shared" si="0"/>
        <v>-804248077.42000008</v>
      </c>
      <c r="Q40" s="44">
        <f t="shared" si="2"/>
        <v>-0.38806746024761896</v>
      </c>
    </row>
    <row r="41" spans="1:17" s="2" customFormat="1">
      <c r="A41" s="9"/>
      <c r="B41" s="23" t="s">
        <v>550</v>
      </c>
      <c r="C41" s="17">
        <f t="shared" ref="C41:I41" si="10">C40+C8</f>
        <v>12356277438.02</v>
      </c>
      <c r="D41" s="17">
        <f t="shared" si="10"/>
        <v>12106277438.02</v>
      </c>
      <c r="E41" s="17">
        <f t="shared" si="10"/>
        <v>13047822791.02</v>
      </c>
      <c r="F41" s="17">
        <f t="shared" si="10"/>
        <v>657917498.4000001</v>
      </c>
      <c r="G41" s="17">
        <f t="shared" si="10"/>
        <v>-129388458</v>
      </c>
      <c r="H41" s="17">
        <f t="shared" si="10"/>
        <v>13576351831.42</v>
      </c>
      <c r="I41" s="748">
        <f t="shared" si="10"/>
        <v>12905770148</v>
      </c>
      <c r="J41" s="35">
        <f t="shared" ref="J41:K41" si="11">J40+J8</f>
        <v>13487648859.550001</v>
      </c>
      <c r="K41" s="35">
        <f t="shared" si="11"/>
        <v>14098621506.677502</v>
      </c>
      <c r="L41" s="34"/>
      <c r="O41" s="35">
        <f t="shared" si="0"/>
        <v>-670581683.42000008</v>
      </c>
      <c r="Q41" s="48">
        <f t="shared" si="2"/>
        <v>-4.9393363677277424E-2</v>
      </c>
    </row>
    <row r="42" spans="1:17" s="2" customFormat="1">
      <c r="A42" s="845">
        <v>3</v>
      </c>
      <c r="B42" s="24" t="s">
        <v>1755</v>
      </c>
      <c r="C42" s="25"/>
      <c r="D42" s="25"/>
      <c r="E42" s="25"/>
      <c r="F42" s="25"/>
      <c r="G42" s="25"/>
      <c r="H42" s="25"/>
      <c r="I42" s="748">
        <f>E42</f>
        <v>0</v>
      </c>
      <c r="J42" s="25"/>
      <c r="K42" s="25"/>
      <c r="L42" s="34"/>
      <c r="O42" s="25">
        <f t="shared" si="0"/>
        <v>0</v>
      </c>
      <c r="Q42" s="49"/>
    </row>
    <row r="43" spans="1:17" s="2" customFormat="1">
      <c r="A43" s="845"/>
      <c r="B43" s="9" t="s">
        <v>1756</v>
      </c>
      <c r="C43" s="25"/>
      <c r="D43" s="25"/>
      <c r="E43" s="25"/>
      <c r="F43" s="25"/>
      <c r="G43" s="25"/>
      <c r="H43" s="25"/>
      <c r="I43" s="748">
        <v>0</v>
      </c>
      <c r="J43" s="25"/>
      <c r="K43" s="25"/>
      <c r="L43" s="34"/>
      <c r="O43" s="25">
        <f t="shared" si="0"/>
        <v>0</v>
      </c>
      <c r="Q43" s="49"/>
    </row>
    <row r="44" spans="1:17">
      <c r="A44" s="13"/>
      <c r="B44" s="13" t="s">
        <v>1674</v>
      </c>
      <c r="C44" s="19">
        <v>14839375.659738</v>
      </c>
      <c r="D44" s="26">
        <v>35875855.328121804</v>
      </c>
      <c r="E44" s="26">
        <f>40421748.233017+11000000+1250000</f>
        <v>52671748.233016998</v>
      </c>
      <c r="F44" s="26">
        <v>0</v>
      </c>
      <c r="G44" s="26"/>
      <c r="H44" s="26">
        <f>E44+F44</f>
        <v>52671748.233016998</v>
      </c>
      <c r="I44" s="749">
        <f>52671748.233017-700000</f>
        <v>51971748.233016998</v>
      </c>
      <c r="J44" s="26">
        <f>1.02*I44</f>
        <v>53011183.197677337</v>
      </c>
      <c r="K44" s="26">
        <f>J44*1.02</f>
        <v>54071406.861630887</v>
      </c>
      <c r="O44" s="26">
        <f t="shared" si="0"/>
        <v>-700000</v>
      </c>
      <c r="Q44" s="50">
        <f t="shared" si="2"/>
        <v>-1.3289856962849234E-2</v>
      </c>
    </row>
    <row r="45" spans="1:17">
      <c r="A45" s="13"/>
      <c r="B45" s="13" t="s">
        <v>1675</v>
      </c>
      <c r="C45" s="19">
        <v>109921.301183245</v>
      </c>
      <c r="D45" s="26">
        <v>0</v>
      </c>
      <c r="E45" s="26">
        <v>131496.81782310401</v>
      </c>
      <c r="F45" s="26">
        <v>0</v>
      </c>
      <c r="G45" s="26"/>
      <c r="H45" s="26">
        <f t="shared" ref="H45:H58" si="12">E45+F45</f>
        <v>131496.81782310401</v>
      </c>
      <c r="I45" s="749">
        <v>131496.81782310401</v>
      </c>
      <c r="J45" s="26">
        <f t="shared" ref="J45:J59" si="13">1.02*I45</f>
        <v>134126.75417956608</v>
      </c>
      <c r="K45" s="26">
        <f t="shared" ref="K45:K59" si="14">J45*1.02</f>
        <v>136809.28926315741</v>
      </c>
      <c r="O45" s="26">
        <f t="shared" si="0"/>
        <v>0</v>
      </c>
      <c r="Q45" s="50">
        <f t="shared" si="2"/>
        <v>0</v>
      </c>
    </row>
    <row r="46" spans="1:17">
      <c r="A46" s="13"/>
      <c r="B46" s="13" t="s">
        <v>1757</v>
      </c>
      <c r="C46" s="19">
        <v>2218585.4144278201</v>
      </c>
      <c r="D46" s="26">
        <v>1623262.0636562801</v>
      </c>
      <c r="E46" s="26">
        <v>1828948.462781</v>
      </c>
      <c r="F46" s="26">
        <v>0</v>
      </c>
      <c r="G46" s="26"/>
      <c r="H46" s="26">
        <f t="shared" si="12"/>
        <v>1828948.462781</v>
      </c>
      <c r="I46" s="749">
        <f>1828948.462781+200000</f>
        <v>2028948.462781</v>
      </c>
      <c r="J46" s="26">
        <f t="shared" si="13"/>
        <v>2069527.4320366201</v>
      </c>
      <c r="K46" s="26">
        <f t="shared" si="14"/>
        <v>2110917.9806773528</v>
      </c>
      <c r="O46" s="26">
        <f t="shared" si="0"/>
        <v>200000</v>
      </c>
      <c r="Q46" s="50">
        <f t="shared" si="2"/>
        <v>0.10935245255401616</v>
      </c>
    </row>
    <row r="47" spans="1:17">
      <c r="A47" s="13"/>
      <c r="B47" s="13" t="s">
        <v>1678</v>
      </c>
      <c r="C47" s="19">
        <v>109921.301183245</v>
      </c>
      <c r="D47" s="26">
        <v>0</v>
      </c>
      <c r="E47" s="26">
        <v>131496.81782310401</v>
      </c>
      <c r="F47" s="26">
        <v>0</v>
      </c>
      <c r="G47" s="26"/>
      <c r="H47" s="26">
        <f t="shared" si="12"/>
        <v>131496.81782310401</v>
      </c>
      <c r="I47" s="749">
        <v>131496.81782310401</v>
      </c>
      <c r="J47" s="26">
        <f t="shared" si="13"/>
        <v>134126.75417956608</v>
      </c>
      <c r="K47" s="26">
        <f t="shared" si="14"/>
        <v>136809.28926315741</v>
      </c>
      <c r="O47" s="26">
        <f t="shared" si="0"/>
        <v>0</v>
      </c>
      <c r="Q47" s="50">
        <f t="shared" si="2"/>
        <v>0</v>
      </c>
    </row>
    <row r="48" spans="1:17">
      <c r="A48" s="13"/>
      <c r="B48" s="13" t="s">
        <v>1679</v>
      </c>
      <c r="C48" s="19">
        <v>3546061.1761714802</v>
      </c>
      <c r="D48" s="26">
        <v>5250571.2293192502</v>
      </c>
      <c r="E48" s="26">
        <v>5915880.3705148101</v>
      </c>
      <c r="F48" s="26">
        <v>0</v>
      </c>
      <c r="G48" s="26"/>
      <c r="H48" s="26">
        <f t="shared" si="12"/>
        <v>5915880.3705148101</v>
      </c>
      <c r="I48" s="749">
        <v>5915880.3705148101</v>
      </c>
      <c r="J48" s="26">
        <f t="shared" si="13"/>
        <v>6034197.977925106</v>
      </c>
      <c r="K48" s="26">
        <f t="shared" si="14"/>
        <v>6154881.9374836078</v>
      </c>
      <c r="O48" s="26">
        <f t="shared" si="0"/>
        <v>0</v>
      </c>
      <c r="Q48" s="50">
        <f t="shared" si="2"/>
        <v>0</v>
      </c>
    </row>
    <row r="49" spans="1:17" ht="25.5">
      <c r="A49" s="13"/>
      <c r="B49" s="13" t="s">
        <v>1758</v>
      </c>
      <c r="C49" s="19">
        <v>359488026.693443</v>
      </c>
      <c r="D49" s="26">
        <v>434639524.997953</v>
      </c>
      <c r="E49" s="26">
        <v>606609754.36521101</v>
      </c>
      <c r="F49" s="26">
        <v>32999999.9999981</v>
      </c>
      <c r="G49" s="26"/>
      <c r="H49" s="26">
        <f t="shared" si="12"/>
        <v>639609754.3652091</v>
      </c>
      <c r="I49" s="749">
        <v>639609754.36520898</v>
      </c>
      <c r="J49" s="26">
        <f t="shared" si="13"/>
        <v>652401949.45251322</v>
      </c>
      <c r="K49" s="26">
        <f t="shared" si="14"/>
        <v>665449988.44156349</v>
      </c>
      <c r="O49" s="26">
        <f t="shared" si="0"/>
        <v>0</v>
      </c>
      <c r="Q49" s="50">
        <f t="shared" si="2"/>
        <v>0</v>
      </c>
    </row>
    <row r="50" spans="1:17" ht="25.5">
      <c r="A50" s="13"/>
      <c r="B50" s="13" t="s">
        <v>1681</v>
      </c>
      <c r="C50" s="19">
        <v>3352599.6860889602</v>
      </c>
      <c r="D50" s="26">
        <v>1374464.0327472501</v>
      </c>
      <c r="E50" s="26">
        <v>1548624.79455637</v>
      </c>
      <c r="F50" s="26">
        <v>0</v>
      </c>
      <c r="G50" s="26"/>
      <c r="H50" s="26">
        <f t="shared" si="12"/>
        <v>1548624.79455637</v>
      </c>
      <c r="I50" s="749">
        <f>1548624.79455637+300000</f>
        <v>1848624.79455637</v>
      </c>
      <c r="J50" s="26">
        <f t="shared" si="13"/>
        <v>1885597.2904474975</v>
      </c>
      <c r="K50" s="26">
        <f t="shared" si="14"/>
        <v>1923309.2362564474</v>
      </c>
      <c r="O50" s="26">
        <f t="shared" si="0"/>
        <v>300000</v>
      </c>
      <c r="Q50" s="50">
        <f t="shared" si="2"/>
        <v>0.19372026139226328</v>
      </c>
    </row>
    <row r="51" spans="1:17" ht="25.5">
      <c r="A51" s="13"/>
      <c r="B51" s="13" t="s">
        <v>1682</v>
      </c>
      <c r="C51" s="19">
        <v>6340847.9015561501</v>
      </c>
      <c r="D51" s="26">
        <v>915379.34464786504</v>
      </c>
      <c r="E51" s="26">
        <f>4022072.39775013+15000000</f>
        <v>19022072.397750132</v>
      </c>
      <c r="F51" s="26">
        <v>0</v>
      </c>
      <c r="G51" s="26"/>
      <c r="H51" s="26">
        <f t="shared" si="12"/>
        <v>19022072.397750132</v>
      </c>
      <c r="I51" s="749">
        <f>19022072.3977501+200000</f>
        <v>19222072.397750098</v>
      </c>
      <c r="J51" s="26">
        <f t="shared" si="13"/>
        <v>19606513.845705099</v>
      </c>
      <c r="K51" s="26">
        <f t="shared" si="14"/>
        <v>19998644.1226192</v>
      </c>
      <c r="O51" s="26">
        <f t="shared" si="0"/>
        <v>199999.99999996647</v>
      </c>
      <c r="Q51" s="50">
        <f t="shared" si="2"/>
        <v>1.0514101503662721E-2</v>
      </c>
    </row>
    <row r="52" spans="1:17" ht="25.5">
      <c r="A52" s="13"/>
      <c r="B52" s="13" t="s">
        <v>1683</v>
      </c>
      <c r="C52" s="19">
        <v>219842.60236649</v>
      </c>
      <c r="D52" s="26">
        <v>401394.241660061</v>
      </c>
      <c r="E52" s="26">
        <v>452255.61398246401</v>
      </c>
      <c r="F52" s="26">
        <v>0</v>
      </c>
      <c r="G52" s="26"/>
      <c r="H52" s="26">
        <f t="shared" si="12"/>
        <v>452255.61398246401</v>
      </c>
      <c r="I52" s="749">
        <v>452255.61398246401</v>
      </c>
      <c r="J52" s="26">
        <f t="shared" si="13"/>
        <v>461300.72626211331</v>
      </c>
      <c r="K52" s="26">
        <f t="shared" si="14"/>
        <v>470526.74078735558</v>
      </c>
      <c r="O52" s="26">
        <f t="shared" si="0"/>
        <v>0</v>
      </c>
      <c r="Q52" s="50">
        <f t="shared" si="2"/>
        <v>0</v>
      </c>
    </row>
    <row r="53" spans="1:17" ht="25.5">
      <c r="A53" s="13"/>
      <c r="B53" s="13" t="s">
        <v>1684</v>
      </c>
      <c r="C53" s="19">
        <v>90049834.418903396</v>
      </c>
      <c r="D53" s="26">
        <v>150277849.35663101</v>
      </c>
      <c r="E53" s="26">
        <v>169319820.70212501</v>
      </c>
      <c r="F53" s="26">
        <v>0</v>
      </c>
      <c r="G53" s="26"/>
      <c r="H53" s="26">
        <f t="shared" si="12"/>
        <v>169319820.70212501</v>
      </c>
      <c r="I53" s="749">
        <v>169319820.70212501</v>
      </c>
      <c r="J53" s="26">
        <f t="shared" si="13"/>
        <v>172706217.11616752</v>
      </c>
      <c r="K53" s="26">
        <f t="shared" si="14"/>
        <v>176160341.45849088</v>
      </c>
      <c r="O53" s="26">
        <f t="shared" si="0"/>
        <v>0</v>
      </c>
      <c r="Q53" s="50">
        <f t="shared" si="2"/>
        <v>0</v>
      </c>
    </row>
    <row r="54" spans="1:17">
      <c r="A54" s="13"/>
      <c r="B54" s="13" t="s">
        <v>1685</v>
      </c>
      <c r="C54" s="19">
        <v>10753290.087032801</v>
      </c>
      <c r="D54" s="26">
        <v>23039052.641019098</v>
      </c>
      <c r="E54" s="26">
        <v>25958371.636438798</v>
      </c>
      <c r="F54" s="26">
        <v>0</v>
      </c>
      <c r="G54" s="26"/>
      <c r="H54" s="26">
        <f t="shared" si="12"/>
        <v>25958371.636438798</v>
      </c>
      <c r="I54" s="749">
        <v>25958371.636438798</v>
      </c>
      <c r="J54" s="26">
        <f t="shared" si="13"/>
        <v>26477539.069167573</v>
      </c>
      <c r="K54" s="26">
        <f t="shared" si="14"/>
        <v>27007089.850550923</v>
      </c>
      <c r="O54" s="26">
        <f t="shared" si="0"/>
        <v>0</v>
      </c>
      <c r="Q54" s="50">
        <f t="shared" si="2"/>
        <v>0</v>
      </c>
    </row>
    <row r="55" spans="1:17">
      <c r="A55" s="13"/>
      <c r="B55" s="13" t="s">
        <v>1759</v>
      </c>
      <c r="C55" s="19">
        <v>26739278.150484901</v>
      </c>
      <c r="D55" s="26">
        <v>41165814.205371097</v>
      </c>
      <c r="E55" s="26">
        <f>46382007.1298013+9000000</f>
        <v>55382007.129801303</v>
      </c>
      <c r="F55" s="26">
        <v>0</v>
      </c>
      <c r="G55" s="26"/>
      <c r="H55" s="26">
        <f t="shared" si="12"/>
        <v>55382007.129801303</v>
      </c>
      <c r="I55" s="749">
        <v>55382007.129801303</v>
      </c>
      <c r="J55" s="26">
        <f t="shared" si="13"/>
        <v>56489647.272397332</v>
      </c>
      <c r="K55" s="26">
        <f t="shared" si="14"/>
        <v>57619440.217845276</v>
      </c>
      <c r="O55" s="26">
        <f t="shared" si="0"/>
        <v>0</v>
      </c>
      <c r="Q55" s="50">
        <f t="shared" si="2"/>
        <v>0</v>
      </c>
    </row>
    <row r="56" spans="1:17">
      <c r="A56" s="13"/>
      <c r="B56" s="13" t="s">
        <v>1649</v>
      </c>
      <c r="C56" s="19">
        <v>54523622.184739001</v>
      </c>
      <c r="D56" s="26">
        <v>84958393.635955393</v>
      </c>
      <c r="E56" s="26">
        <v>95723621.539476499</v>
      </c>
      <c r="F56" s="26">
        <v>0</v>
      </c>
      <c r="G56" s="26"/>
      <c r="H56" s="26">
        <f t="shared" si="12"/>
        <v>95723621.539476499</v>
      </c>
      <c r="I56" s="749">
        <v>95723621.539476499</v>
      </c>
      <c r="J56" s="26">
        <f t="shared" si="13"/>
        <v>97638093.970266029</v>
      </c>
      <c r="K56" s="26">
        <f t="shared" si="14"/>
        <v>99590855.849671349</v>
      </c>
      <c r="O56" s="26">
        <f t="shared" si="0"/>
        <v>0</v>
      </c>
      <c r="Q56" s="50">
        <f t="shared" si="2"/>
        <v>0</v>
      </c>
    </row>
    <row r="57" spans="1:17">
      <c r="A57" s="13"/>
      <c r="B57" s="13" t="s">
        <v>1651</v>
      </c>
      <c r="C57" s="19">
        <v>27708793.422681499</v>
      </c>
      <c r="D57" s="26">
        <v>45756068.922917902</v>
      </c>
      <c r="E57" s="26">
        <v>51553901.118699498</v>
      </c>
      <c r="F57" s="26">
        <v>0</v>
      </c>
      <c r="G57" s="26"/>
      <c r="H57" s="26">
        <f t="shared" si="12"/>
        <v>51553901.118699498</v>
      </c>
      <c r="I57" s="749">
        <v>51553901.118699498</v>
      </c>
      <c r="J57" s="26">
        <f t="shared" si="13"/>
        <v>52584979.141073488</v>
      </c>
      <c r="K57" s="26">
        <f t="shared" si="14"/>
        <v>53636678.723894961</v>
      </c>
      <c r="O57" s="26">
        <f t="shared" si="0"/>
        <v>0</v>
      </c>
      <c r="Q57" s="50">
        <f t="shared" si="2"/>
        <v>0</v>
      </c>
    </row>
    <row r="58" spans="1:17" ht="38.25">
      <c r="A58" s="13"/>
      <c r="B58" s="13" t="s">
        <v>1760</v>
      </c>
      <c r="C58" s="19"/>
      <c r="D58" s="20">
        <v>121742201</v>
      </c>
      <c r="E58" s="20">
        <v>0</v>
      </c>
      <c r="F58" s="26">
        <v>0</v>
      </c>
      <c r="G58" s="26"/>
      <c r="H58" s="26">
        <f t="shared" si="12"/>
        <v>0</v>
      </c>
      <c r="I58" s="749">
        <v>0</v>
      </c>
      <c r="J58" s="20">
        <f t="shared" si="13"/>
        <v>0</v>
      </c>
      <c r="K58" s="20">
        <f t="shared" si="14"/>
        <v>0</v>
      </c>
      <c r="O58" s="20">
        <f t="shared" si="0"/>
        <v>0</v>
      </c>
      <c r="Q58" s="51"/>
    </row>
    <row r="59" spans="1:17" ht="25.5">
      <c r="A59" s="13"/>
      <c r="B59" s="13" t="s">
        <v>1761</v>
      </c>
      <c r="C59" s="19"/>
      <c r="D59" s="20">
        <v>41626110</v>
      </c>
      <c r="E59" s="20">
        <v>0</v>
      </c>
      <c r="F59" s="26">
        <f t="shared" ref="F59" si="15">E59-H59</f>
        <v>0</v>
      </c>
      <c r="G59" s="26"/>
      <c r="H59" s="26">
        <v>0</v>
      </c>
      <c r="I59" s="749">
        <v>0</v>
      </c>
      <c r="J59" s="20">
        <f t="shared" si="13"/>
        <v>0</v>
      </c>
      <c r="K59" s="20">
        <f t="shared" si="14"/>
        <v>0</v>
      </c>
      <c r="O59" s="20">
        <f t="shared" si="0"/>
        <v>0</v>
      </c>
      <c r="Q59" s="51"/>
    </row>
    <row r="60" spans="1:17" s="2" customFormat="1">
      <c r="A60" s="9"/>
      <c r="B60" s="9" t="s">
        <v>1754</v>
      </c>
      <c r="C60" s="27">
        <f t="shared" ref="C60:H60" si="16">SUM(C44:C59)</f>
        <v>600000000</v>
      </c>
      <c r="D60" s="27">
        <f t="shared" si="16"/>
        <v>988645941</v>
      </c>
      <c r="E60" s="27">
        <f t="shared" si="16"/>
        <v>1086250000</v>
      </c>
      <c r="F60" s="27">
        <f t="shared" si="16"/>
        <v>32999999.9999981</v>
      </c>
      <c r="G60" s="27">
        <f t="shared" si="16"/>
        <v>0</v>
      </c>
      <c r="H60" s="27">
        <f t="shared" si="16"/>
        <v>1119249999.9999981</v>
      </c>
      <c r="I60" s="748">
        <f>SUM(I43:I59)</f>
        <v>1119249999.9999981</v>
      </c>
      <c r="J60" s="35">
        <f t="shared" ref="J60:K60" si="17">SUM(J43:J59)</f>
        <v>1141634999.9999981</v>
      </c>
      <c r="K60" s="35">
        <f t="shared" si="17"/>
        <v>1164467699.9999981</v>
      </c>
      <c r="L60" s="34"/>
      <c r="O60" s="35">
        <f t="shared" si="0"/>
        <v>0</v>
      </c>
      <c r="Q60" s="48">
        <f t="shared" si="2"/>
        <v>0</v>
      </c>
    </row>
    <row r="61" spans="1:17" s="2" customFormat="1">
      <c r="A61" s="9"/>
      <c r="B61" s="9" t="s">
        <v>550</v>
      </c>
      <c r="C61" s="17">
        <f t="shared" ref="C61:I61" si="18">C60+C41</f>
        <v>12956277438.02</v>
      </c>
      <c r="D61" s="17">
        <f t="shared" si="18"/>
        <v>13094923379.02</v>
      </c>
      <c r="E61" s="17">
        <f t="shared" si="18"/>
        <v>14134072791.02</v>
      </c>
      <c r="F61" s="17">
        <f t="shared" si="18"/>
        <v>690917498.39999819</v>
      </c>
      <c r="G61" s="17">
        <f t="shared" si="18"/>
        <v>-129388458</v>
      </c>
      <c r="H61" s="17">
        <f t="shared" si="18"/>
        <v>14695601831.419998</v>
      </c>
      <c r="I61" s="748">
        <f t="shared" si="18"/>
        <v>14025020147.999998</v>
      </c>
      <c r="J61" s="35">
        <f t="shared" ref="J61:K61" si="19">J60+J41</f>
        <v>14629283859.549999</v>
      </c>
      <c r="K61" s="35">
        <f t="shared" si="19"/>
        <v>15263089206.6775</v>
      </c>
      <c r="L61" s="34"/>
      <c r="O61" s="35">
        <f t="shared" si="0"/>
        <v>-670581683.42000008</v>
      </c>
      <c r="Q61" s="48">
        <f t="shared" si="2"/>
        <v>-4.5631454302624053E-2</v>
      </c>
    </row>
    <row r="62" spans="1:17" s="2" customFormat="1">
      <c r="A62" s="9"/>
      <c r="B62" s="9" t="s">
        <v>1762</v>
      </c>
      <c r="C62" s="25">
        <v>0</v>
      </c>
      <c r="D62" s="25">
        <v>1495093369.0300901</v>
      </c>
      <c r="E62" s="25"/>
      <c r="F62" s="25">
        <v>49755337.199998997</v>
      </c>
      <c r="G62" s="25"/>
      <c r="H62" s="28">
        <f t="shared" ref="H62" si="20">E62+F62</f>
        <v>49755337.199998997</v>
      </c>
      <c r="I62" s="749">
        <f>E62</f>
        <v>0</v>
      </c>
      <c r="J62" s="28">
        <v>0</v>
      </c>
      <c r="K62" s="25"/>
      <c r="L62" s="34"/>
      <c r="O62" s="28">
        <f t="shared" si="0"/>
        <v>-49755337.199998997</v>
      </c>
      <c r="Q62" s="52">
        <f t="shared" si="2"/>
        <v>-1</v>
      </c>
    </row>
    <row r="63" spans="1:17">
      <c r="A63" s="13"/>
      <c r="B63" s="13" t="s">
        <v>1763</v>
      </c>
      <c r="C63" s="29">
        <f>C8/C68</f>
        <v>0.86786675538482261</v>
      </c>
      <c r="D63" s="29">
        <f>D8/D68</f>
        <v>0.77068605582668492</v>
      </c>
      <c r="E63" s="29" t="e">
        <f>E8/E68</f>
        <v>#REF!</v>
      </c>
      <c r="F63" s="29"/>
      <c r="G63" s="29"/>
      <c r="H63" s="30">
        <f>H8/H68</f>
        <v>0.78017152826123359</v>
      </c>
      <c r="I63" s="752">
        <f>I8/I68</f>
        <v>0.82977237167531248</v>
      </c>
      <c r="J63" s="29">
        <f>J8/J68</f>
        <v>0.8352734870595282</v>
      </c>
      <c r="K63" s="29">
        <f>K8/K68</f>
        <v>0.84061787335058458</v>
      </c>
      <c r="O63" s="29">
        <f t="shared" si="0"/>
        <v>4.9600843414078888E-2</v>
      </c>
      <c r="Q63" s="43">
        <f t="shared" si="2"/>
        <v>6.3576843831540719E-2</v>
      </c>
    </row>
    <row r="64" spans="1:17">
      <c r="A64" s="13"/>
      <c r="B64" s="13" t="s">
        <v>1764</v>
      </c>
      <c r="C64" s="29">
        <f>C60/C61</f>
        <v>4.6309598020748542E-2</v>
      </c>
      <c r="D64" s="29">
        <f>D60/D68</f>
        <v>6.7761809878122956E-2</v>
      </c>
      <c r="E64" s="29" t="e">
        <f>E60/E68</f>
        <v>#REF!</v>
      </c>
      <c r="F64" s="29"/>
      <c r="G64" s="29"/>
      <c r="H64" s="30">
        <f>H60/H68</f>
        <v>7.5905248492854752E-2</v>
      </c>
      <c r="I64" s="752">
        <f>I60/I68</f>
        <v>7.9803806924270679E-2</v>
      </c>
      <c r="J64" s="29">
        <f>J60/J68</f>
        <v>7.8037654540057233E-2</v>
      </c>
      <c r="K64" s="29">
        <f>K60/K68</f>
        <v>7.6293054717294792E-2</v>
      </c>
      <c r="O64" s="29">
        <f t="shared" si="0"/>
        <v>3.8985584314159272E-3</v>
      </c>
      <c r="Q64" s="43">
        <f t="shared" si="2"/>
        <v>5.1360854602602535E-2</v>
      </c>
    </row>
    <row r="65" spans="1:17">
      <c r="A65" s="13"/>
      <c r="B65" s="13" t="s">
        <v>1765</v>
      </c>
      <c r="C65" s="29">
        <f>C40/C61</f>
        <v>8.5823646594428801E-2</v>
      </c>
      <c r="D65" s="29">
        <f>D40/D68</f>
        <v>5.9078408949406962E-2</v>
      </c>
      <c r="E65" s="29" t="e">
        <f>E40/E68</f>
        <v>#REF!</v>
      </c>
      <c r="F65" s="29"/>
      <c r="G65" s="29"/>
      <c r="H65" s="30">
        <f>H40/H68</f>
        <v>0.14054891792180019</v>
      </c>
      <c r="I65" s="752">
        <f>I40/I68</f>
        <v>9.0423821400416868E-2</v>
      </c>
      <c r="J65" s="29">
        <f>J40/J68</f>
        <v>8.6688858400414556E-2</v>
      </c>
      <c r="K65" s="29">
        <f>K40/K68</f>
        <v>8.3089071932120576E-2</v>
      </c>
      <c r="O65" s="29">
        <f t="shared" si="0"/>
        <v>-5.0125096521383319E-2</v>
      </c>
      <c r="Q65" s="43">
        <f t="shared" si="2"/>
        <v>-0.35663808204679559</v>
      </c>
    </row>
    <row r="66" spans="1:17">
      <c r="A66" s="13"/>
      <c r="B66" s="13" t="s">
        <v>1766</v>
      </c>
      <c r="C66" s="29">
        <v>0</v>
      </c>
      <c r="D66" s="29">
        <f>D62/D68</f>
        <v>0.10247372534578512</v>
      </c>
      <c r="E66" s="29" t="e">
        <f>E62/E68</f>
        <v>#REF!</v>
      </c>
      <c r="F66" s="29"/>
      <c r="G66" s="29"/>
      <c r="H66" s="30">
        <f>H62/H68</f>
        <v>3.3743053241114232E-3</v>
      </c>
      <c r="I66" s="752">
        <f>I62/I68</f>
        <v>0</v>
      </c>
      <c r="J66" s="29">
        <f>J62/J68</f>
        <v>0</v>
      </c>
      <c r="K66" s="29">
        <f>K62/K68</f>
        <v>0</v>
      </c>
      <c r="O66" s="29">
        <f t="shared" si="0"/>
        <v>-3.3743053241114232E-3</v>
      </c>
      <c r="Q66" s="43">
        <f t="shared" si="2"/>
        <v>-1</v>
      </c>
    </row>
    <row r="67" spans="1:17" s="2" customFormat="1">
      <c r="A67" s="9"/>
      <c r="B67" s="9"/>
      <c r="C67" s="17">
        <v>100</v>
      </c>
      <c r="D67" s="17">
        <v>100</v>
      </c>
      <c r="E67" s="17">
        <v>100</v>
      </c>
      <c r="F67" s="17"/>
      <c r="G67" s="17"/>
      <c r="H67" s="53">
        <v>100</v>
      </c>
      <c r="I67" s="753">
        <v>100</v>
      </c>
      <c r="J67" s="17">
        <v>100</v>
      </c>
      <c r="K67" s="17">
        <v>100</v>
      </c>
      <c r="L67" s="34"/>
      <c r="O67" s="17">
        <f t="shared" si="0"/>
        <v>0</v>
      </c>
      <c r="Q67" s="56">
        <f t="shared" si="2"/>
        <v>0</v>
      </c>
    </row>
    <row r="68" spans="1:17" s="2" customFormat="1">
      <c r="A68" s="9"/>
      <c r="B68" s="9" t="s">
        <v>1767</v>
      </c>
      <c r="C68" s="17">
        <f>C62+C61</f>
        <v>12956277438.02</v>
      </c>
      <c r="D68" s="17">
        <f>D62+D61</f>
        <v>14590016748.050091</v>
      </c>
      <c r="E68" s="17" t="e">
        <f>E61+#REF!</f>
        <v>#REF!</v>
      </c>
      <c r="F68" s="17" t="e">
        <f>F61+#REF!+F62</f>
        <v>#REF!</v>
      </c>
      <c r="G68" s="17" t="e">
        <f>G61+#REF!+G62</f>
        <v>#REF!</v>
      </c>
      <c r="H68" s="17">
        <f>H61+H62</f>
        <v>14745357168.619997</v>
      </c>
      <c r="I68" s="754">
        <f>I61</f>
        <v>14025020147.999998</v>
      </c>
      <c r="J68" s="35">
        <f>J61</f>
        <v>14629283859.549999</v>
      </c>
      <c r="K68" s="35">
        <f>K61</f>
        <v>15263089206.6775</v>
      </c>
      <c r="L68" s="34"/>
      <c r="O68" s="35">
        <f t="shared" si="0"/>
        <v>-720337020.61999893</v>
      </c>
      <c r="Q68" s="48">
        <f t="shared" si="2"/>
        <v>-4.8851785167535189E-2</v>
      </c>
    </row>
    <row r="69" spans="1:17">
      <c r="A69" s="1"/>
      <c r="B69" s="1"/>
      <c r="C69" s="54"/>
      <c r="D69" s="54"/>
      <c r="E69" s="54"/>
      <c r="F69" s="54"/>
      <c r="G69" s="54"/>
      <c r="H69" s="54"/>
      <c r="I69" s="755"/>
      <c r="J69" s="54"/>
      <c r="K69" s="54"/>
      <c r="O69" s="54"/>
      <c r="Q69" s="57"/>
    </row>
    <row r="70" spans="1:17" ht="17.25">
      <c r="A70" s="1"/>
      <c r="B70" s="1"/>
      <c r="C70" s="54"/>
      <c r="D70" s="54"/>
      <c r="E70" s="54"/>
      <c r="F70" s="54"/>
      <c r="G70" s="54"/>
      <c r="H70" s="54"/>
      <c r="I70" s="756">
        <v>13797020148</v>
      </c>
      <c r="J70" s="54"/>
      <c r="K70" s="54"/>
      <c r="O70" s="54"/>
      <c r="Q70" s="57"/>
    </row>
    <row r="71" spans="1:17">
      <c r="A71" s="1"/>
      <c r="B71" s="1"/>
      <c r="C71" s="54"/>
      <c r="D71" s="54"/>
      <c r="E71" s="54"/>
      <c r="F71" s="54"/>
      <c r="G71" s="54"/>
      <c r="H71" s="54"/>
      <c r="J71" s="54"/>
      <c r="K71" s="54"/>
      <c r="O71" s="54"/>
      <c r="Q71" s="57"/>
    </row>
    <row r="72" spans="1:17" ht="17.25">
      <c r="A72" s="1"/>
      <c r="B72" s="1"/>
      <c r="C72" s="54"/>
      <c r="D72" s="54"/>
      <c r="E72" s="54"/>
      <c r="F72" s="54"/>
      <c r="G72" s="54"/>
      <c r="H72" s="54"/>
      <c r="I72" s="55">
        <f>I68-I70</f>
        <v>227999999.99999809</v>
      </c>
      <c r="J72" s="54"/>
      <c r="K72" s="54"/>
      <c r="O72" s="54"/>
      <c r="Q72" s="57"/>
    </row>
    <row r="73" spans="1:17">
      <c r="A73" s="1"/>
      <c r="B73" s="1"/>
      <c r="C73" s="54"/>
      <c r="D73" s="54"/>
      <c r="E73" s="54"/>
      <c r="F73" s="54"/>
      <c r="G73" s="54"/>
      <c r="H73" s="54"/>
      <c r="J73" s="54"/>
      <c r="K73" s="54"/>
      <c r="O73" s="54"/>
      <c r="Q73" s="57"/>
    </row>
  </sheetData>
  <mergeCells count="6">
    <mergeCell ref="A1:K1"/>
    <mergeCell ref="A2:K2"/>
    <mergeCell ref="A3:H3"/>
    <mergeCell ref="A4:A5"/>
    <mergeCell ref="A42:A43"/>
    <mergeCell ref="B4:B5"/>
  </mergeCells>
  <pageMargins left="0.70866141732283505" right="0.70866141732283505" top="0.74803149606299202" bottom="0.74803149606299202" header="0.31496062992126" footer="0.31496062992126"/>
  <pageSetup paperSize="9" scale="67" fitToHeight="0" orientation="landscape"/>
  <headerFooter>
    <oddFooter>&amp;CPage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Itemized Budget 2026-27</vt:lpstr>
      <vt:lpstr>Sheet1</vt:lpstr>
      <vt:lpstr>Tables</vt:lpstr>
      <vt:lpstr>Programmes</vt:lpstr>
      <vt:lpstr>Summary</vt:lpstr>
      <vt:lpstr>analysis - submitted</vt:lpstr>
      <vt:lpstr>Votes</vt:lpstr>
      <vt:lpstr>Revenue Projections</vt:lpstr>
      <vt:lpstr>'analysis - submitted'!Print_Area</vt:lpstr>
      <vt:lpstr>'Itemized Budget 2026-27'!Print_Area</vt:lpstr>
      <vt:lpstr>Programmes!Print_Area</vt:lpstr>
      <vt:lpstr>Summary!Print_Area</vt:lpstr>
      <vt:lpstr>'Itemized Budget 2026-27'!Print_Titles</vt:lpstr>
      <vt:lpstr>Programmes!Print_Titles</vt:lpstr>
      <vt:lpstr>'Revenue Projections'!Print_Titles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Paul Kimwele</cp:lastModifiedBy>
  <cp:lastPrinted>2026-04-10T09:27:01Z</cp:lastPrinted>
  <dcterms:created xsi:type="dcterms:W3CDTF">2019-04-04T15:04:00Z</dcterms:created>
  <dcterms:modified xsi:type="dcterms:W3CDTF">2026-04-10T09:27:18Z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HIDDEN_GRID_QUERY_LIST_4F35BF76-6C0D-4D9B-82B2-816C12CF3733">
    <vt:lpwstr>empty_477D106A-C0D6-4607-AEBD-E2C9D60EA279</vt:lpwstr>
  </property>
  <property fmtid="{D5CDD505-2E9C-101B-9397-08002B2CF9AE}" pid="3" name="ICV">
    <vt:lpwstr>91CEC486A115494382E66C4D3CC5221E_13</vt:lpwstr>
  </property>
  <property fmtid="{D5CDD505-2E9C-101B-9397-08002B2CF9AE}" pid="4" name="KSOProductBuildVer">
    <vt:lpwstr>1033-12.2.0.23196</vt:lpwstr>
  </property>
  <property fmtid="{D5CDD505-2E9C-101B-9397-08002B2CF9AE}" pid="5" name="SV_QUERY_LIST_4F35BF76-6C0D-4D9B-82B2-816C12CF3733">
    <vt:lpwstr>empty_477D106A-C0D6-4607-AEBD-E2C9D60EA279</vt:lpwstr>
  </property>
</Properties>
</file>